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915" tabRatio="971" activeTab="3"/>
  </bookViews>
  <sheets>
    <sheet name="Instructions Sheet" sheetId="1" r:id="rId1"/>
    <sheet name="Form 1" sheetId="2" r:id="rId2"/>
    <sheet name="General Information" sheetId="3" r:id="rId3"/>
    <sheet name="Form-Sb" sheetId="4" r:id="rId4"/>
    <sheet name="Base line Parameters" sheetId="5" r:id="rId5"/>
    <sheet name="Summary Sheet" sheetId="6" r:id="rId6"/>
    <sheet name="Annex Addl Eqp List-Env" sheetId="7" r:id="rId7"/>
    <sheet name="NF-2 Fuel Quality in CPP" sheetId="8" r:id="rId8"/>
    <sheet name="Annex Project Activites List" sheetId="9" r:id="rId9"/>
    <sheet name="NF-1 CU" sheetId="10" r:id="rId10"/>
    <sheet name="NF-3 Petcoke" sheetId="11" r:id="rId11"/>
    <sheet name="NF-4 PLF" sheetId="12" r:id="rId12"/>
    <sheet name="NF-5 Power Mix" sheetId="13" r:id="rId13"/>
    <sheet name="NF-6 Product Mix" sheetId="14" r:id="rId14"/>
    <sheet name="NF-7 Others" sheetId="15" r:id="rId15"/>
    <sheet name="NF-8 Bond Index" sheetId="16" r:id="rId16"/>
    <sheet name="Sheet1" sheetId="17" r:id="rId17"/>
  </sheets>
  <definedNames>
    <definedName name="_xlfn.AVERAGEIF" hidden="1">#NAME?</definedName>
    <definedName name="_xlfn.IFERROR" hidden="1">#NAME?</definedName>
    <definedName name="_xlnm.Print_Area" localSheetId="3">'Form-Sb'!$A$1:$H$589</definedName>
    <definedName name="_xlnm.Print_Area" localSheetId="5">'Summary Sheet'!$A$1:$F$80</definedName>
    <definedName name="_xlnm.Print_Titles" localSheetId="8">'Annex Project Activites List'!$1:$5</definedName>
    <definedName name="_xlnm.Print_Titles" localSheetId="4">'Base line Parameters'!$2:$5</definedName>
    <definedName name="_xlnm.Print_Titles" localSheetId="3">'Form-Sb'!$1:$4</definedName>
    <definedName name="_xlnm.Print_Titles" localSheetId="0">'Instructions Sheet'!$1:$3</definedName>
    <definedName name="_xlnm.Print_Titles" localSheetId="9">'NF-1 CU'!$1:$5</definedName>
    <definedName name="_xlnm.Print_Titles" localSheetId="12">'NF-5 Power Mix'!$1:$4</definedName>
    <definedName name="_xlnm.Print_Titles" localSheetId="13">'NF-6 Product Mix'!$1:$4</definedName>
    <definedName name="_xlnm.Print_Titles" localSheetId="14">'NF-7 Others'!$1:$4</definedName>
    <definedName name="_xlnm.Print_Titles" localSheetId="5">'Summary Sheet'!$1:$5</definedName>
    <definedName name="Z_29403E45_A0DF_42C3_A079_0B7BA9F68AB3_.wvu.Cols" localSheetId="4" hidden="1">'Base line Parameters'!#REF!</definedName>
    <definedName name="Z_29403E45_A0DF_42C3_A079_0B7BA9F68AB3_.wvu.Cols" localSheetId="3" hidden="1">'Form-Sb'!#REF!</definedName>
    <definedName name="Z_29403E45_A0DF_42C3_A079_0B7BA9F68AB3_.wvu.Cols" localSheetId="2" hidden="1">'General Information'!#REF!</definedName>
    <definedName name="Z_29403E45_A0DF_42C3_A079_0B7BA9F68AB3_.wvu.Cols" localSheetId="0" hidden="1">'Instructions Sheet'!#REF!</definedName>
    <definedName name="Z_29403E45_A0DF_42C3_A079_0B7BA9F68AB3_.wvu.Cols" localSheetId="7" hidden="1">'NF-2 Fuel Quality in CPP'!#REF!</definedName>
    <definedName name="Z_29403E45_A0DF_42C3_A079_0B7BA9F68AB3_.wvu.Cols" localSheetId="10" hidden="1">'NF-3 Petcoke'!#REF!</definedName>
    <definedName name="Z_29403E45_A0DF_42C3_A079_0B7BA9F68AB3_.wvu.Cols" localSheetId="11" hidden="1">'NF-4 PLF'!#REF!</definedName>
    <definedName name="Z_29403E45_A0DF_42C3_A079_0B7BA9F68AB3_.wvu.Cols" localSheetId="12" hidden="1">'NF-5 Power Mix'!#REF!</definedName>
    <definedName name="Z_29403E45_A0DF_42C3_A079_0B7BA9F68AB3_.wvu.Cols" localSheetId="13" hidden="1">'NF-6 Product Mix'!#REF!</definedName>
    <definedName name="Z_29403E45_A0DF_42C3_A079_0B7BA9F68AB3_.wvu.Cols" localSheetId="14" hidden="1">'NF-7 Others'!#REF!</definedName>
    <definedName name="Z_29403E45_A0DF_42C3_A079_0B7BA9F68AB3_.wvu.Cols" localSheetId="5" hidden="1">'Summary Sheet'!#REF!</definedName>
    <definedName name="Z_29403E45_A0DF_42C3_A079_0B7BA9F68AB3_.wvu.PrintArea" localSheetId="5" hidden="1">'Summary Sheet'!$A$1:$F$80</definedName>
    <definedName name="Z_29403E45_A0DF_42C3_A079_0B7BA9F68AB3_.wvu.PrintTitles" localSheetId="3" hidden="1">'Form-Sb'!$1:$4</definedName>
    <definedName name="Z_29403E45_A0DF_42C3_A079_0B7BA9F68AB3_.wvu.Rows" localSheetId="4" hidden="1">'Base line Parameters'!#REF!,'Base line Parameters'!$74:$81</definedName>
    <definedName name="Z_29403E45_A0DF_42C3_A079_0B7BA9F68AB3_.wvu.Rows" localSheetId="3" hidden="1">'Form-Sb'!#REF!,'Form-Sb'!$590:$597</definedName>
    <definedName name="Z_29403E45_A0DF_42C3_A079_0B7BA9F68AB3_.wvu.Rows" localSheetId="2" hidden="1">'General Information'!#REF!</definedName>
    <definedName name="Z_29403E45_A0DF_42C3_A079_0B7BA9F68AB3_.wvu.Rows" localSheetId="0" hidden="1">'Instructions Sheet'!#REF!,'Instructions Sheet'!#REF!</definedName>
    <definedName name="Z_29403E45_A0DF_42C3_A079_0B7BA9F68AB3_.wvu.Rows" localSheetId="7" hidden="1">'NF-2 Fuel Quality in CPP'!#REF!</definedName>
    <definedName name="Z_29403E45_A0DF_42C3_A079_0B7BA9F68AB3_.wvu.Rows" localSheetId="10" hidden="1">'NF-3 Petcoke'!#REF!,'NF-3 Petcoke'!$17:$18</definedName>
    <definedName name="Z_29403E45_A0DF_42C3_A079_0B7BA9F68AB3_.wvu.Rows" localSheetId="11" hidden="1">'NF-4 PLF'!#REF!</definedName>
    <definedName name="Z_29403E45_A0DF_42C3_A079_0B7BA9F68AB3_.wvu.Rows" localSheetId="12" hidden="1">'NF-5 Power Mix'!#REF!</definedName>
    <definedName name="Z_29403E45_A0DF_42C3_A079_0B7BA9F68AB3_.wvu.Rows" localSheetId="13" hidden="1">'NF-6 Product Mix'!#REF!</definedName>
    <definedName name="Z_29403E45_A0DF_42C3_A079_0B7BA9F68AB3_.wvu.Rows" localSheetId="14" hidden="1">'NF-7 Others'!#REF!</definedName>
    <definedName name="Z_29403E45_A0DF_42C3_A079_0B7BA9F68AB3_.wvu.Rows" localSheetId="5" hidden="1">'Summary Sheet'!#REF!,'Summary Sheet'!$81:$129</definedName>
    <definedName name="Z_77B342DB_B591_4E57_ACF1_D8BAA59836A9_.wvu.Cols" localSheetId="4" hidden="1">'Base line Parameters'!#REF!</definedName>
    <definedName name="Z_77B342DB_B591_4E57_ACF1_D8BAA59836A9_.wvu.Cols" localSheetId="3" hidden="1">'Form-Sb'!#REF!</definedName>
    <definedName name="Z_77B342DB_B591_4E57_ACF1_D8BAA59836A9_.wvu.Cols" localSheetId="2" hidden="1">'General Information'!#REF!</definedName>
    <definedName name="Z_77B342DB_B591_4E57_ACF1_D8BAA59836A9_.wvu.Cols" localSheetId="0" hidden="1">'Instructions Sheet'!#REF!</definedName>
    <definedName name="Z_77B342DB_B591_4E57_ACF1_D8BAA59836A9_.wvu.Cols" localSheetId="7" hidden="1">'NF-2 Fuel Quality in CPP'!#REF!</definedName>
    <definedName name="Z_77B342DB_B591_4E57_ACF1_D8BAA59836A9_.wvu.Cols" localSheetId="10" hidden="1">'NF-3 Petcoke'!#REF!</definedName>
    <definedName name="Z_77B342DB_B591_4E57_ACF1_D8BAA59836A9_.wvu.Cols" localSheetId="11" hidden="1">'NF-4 PLF'!#REF!</definedName>
    <definedName name="Z_77B342DB_B591_4E57_ACF1_D8BAA59836A9_.wvu.Cols" localSheetId="12" hidden="1">'NF-5 Power Mix'!#REF!</definedName>
    <definedName name="Z_77B342DB_B591_4E57_ACF1_D8BAA59836A9_.wvu.Cols" localSheetId="13" hidden="1">'NF-6 Product Mix'!#REF!</definedName>
    <definedName name="Z_77B342DB_B591_4E57_ACF1_D8BAA59836A9_.wvu.Cols" localSheetId="14" hidden="1">'NF-7 Others'!#REF!</definedName>
    <definedName name="Z_77B342DB_B591_4E57_ACF1_D8BAA59836A9_.wvu.Cols" localSheetId="5" hidden="1">'Summary Sheet'!#REF!</definedName>
    <definedName name="Z_77B342DB_B591_4E57_ACF1_D8BAA59836A9_.wvu.PrintArea" localSheetId="5" hidden="1">'Summary Sheet'!$A$1:$F$80</definedName>
    <definedName name="Z_77B342DB_B591_4E57_ACF1_D8BAA59836A9_.wvu.PrintTitles" localSheetId="3" hidden="1">'Form-Sb'!$1:$4</definedName>
    <definedName name="Z_77B342DB_B591_4E57_ACF1_D8BAA59836A9_.wvu.Rows" localSheetId="4" hidden="1">'Base line Parameters'!#REF!,'Base line Parameters'!$74:$81</definedName>
    <definedName name="Z_77B342DB_B591_4E57_ACF1_D8BAA59836A9_.wvu.Rows" localSheetId="3" hidden="1">'Form-Sb'!#REF!,'Form-Sb'!$590:$597</definedName>
    <definedName name="Z_77B342DB_B591_4E57_ACF1_D8BAA59836A9_.wvu.Rows" localSheetId="2" hidden="1">'General Information'!#REF!</definedName>
    <definedName name="Z_77B342DB_B591_4E57_ACF1_D8BAA59836A9_.wvu.Rows" localSheetId="0" hidden="1">'Instructions Sheet'!#REF!,'Instructions Sheet'!#REF!</definedName>
    <definedName name="Z_77B342DB_B591_4E57_ACF1_D8BAA59836A9_.wvu.Rows" localSheetId="7" hidden="1">'NF-2 Fuel Quality in CPP'!#REF!</definedName>
    <definedName name="Z_77B342DB_B591_4E57_ACF1_D8BAA59836A9_.wvu.Rows" localSheetId="10" hidden="1">'NF-3 Petcoke'!#REF!,'NF-3 Petcoke'!$17:$18</definedName>
    <definedName name="Z_77B342DB_B591_4E57_ACF1_D8BAA59836A9_.wvu.Rows" localSheetId="11" hidden="1">'NF-4 PLF'!#REF!</definedName>
    <definedName name="Z_77B342DB_B591_4E57_ACF1_D8BAA59836A9_.wvu.Rows" localSheetId="12" hidden="1">'NF-5 Power Mix'!#REF!</definedName>
    <definedName name="Z_77B342DB_B591_4E57_ACF1_D8BAA59836A9_.wvu.Rows" localSheetId="13" hidden="1">'NF-6 Product Mix'!#REF!</definedName>
    <definedName name="Z_77B342DB_B591_4E57_ACF1_D8BAA59836A9_.wvu.Rows" localSheetId="14" hidden="1">'NF-7 Others'!#REF!</definedName>
    <definedName name="Z_77B342DB_B591_4E57_ACF1_D8BAA59836A9_.wvu.Rows" localSheetId="5" hidden="1">'Summary Sheet'!#REF!,'Summary Sheet'!$81:$129</definedName>
    <definedName name="Z_A3057831_32FB_4B2B_877E_DFBABAEE9A1D_.wvu.Cols" localSheetId="4" hidden="1">'Base line Parameters'!#REF!</definedName>
    <definedName name="Z_A3057831_32FB_4B2B_877E_DFBABAEE9A1D_.wvu.Cols" localSheetId="3" hidden="1">'Form-Sb'!#REF!</definedName>
    <definedName name="Z_A3057831_32FB_4B2B_877E_DFBABAEE9A1D_.wvu.Cols" localSheetId="2" hidden="1">'General Information'!#REF!</definedName>
    <definedName name="Z_A3057831_32FB_4B2B_877E_DFBABAEE9A1D_.wvu.Cols" localSheetId="0" hidden="1">'Instructions Sheet'!#REF!</definedName>
    <definedName name="Z_A3057831_32FB_4B2B_877E_DFBABAEE9A1D_.wvu.Cols" localSheetId="7" hidden="1">'NF-2 Fuel Quality in CPP'!#REF!</definedName>
    <definedName name="Z_A3057831_32FB_4B2B_877E_DFBABAEE9A1D_.wvu.Cols" localSheetId="10" hidden="1">'NF-3 Petcoke'!#REF!</definedName>
    <definedName name="Z_A3057831_32FB_4B2B_877E_DFBABAEE9A1D_.wvu.Cols" localSheetId="11" hidden="1">'NF-4 PLF'!#REF!</definedName>
    <definedName name="Z_A3057831_32FB_4B2B_877E_DFBABAEE9A1D_.wvu.Cols" localSheetId="12" hidden="1">'NF-5 Power Mix'!#REF!</definedName>
    <definedName name="Z_A3057831_32FB_4B2B_877E_DFBABAEE9A1D_.wvu.Cols" localSheetId="13" hidden="1">'NF-6 Product Mix'!#REF!</definedName>
    <definedName name="Z_A3057831_32FB_4B2B_877E_DFBABAEE9A1D_.wvu.Cols" localSheetId="14" hidden="1">'NF-7 Others'!#REF!</definedName>
    <definedName name="Z_A3057831_32FB_4B2B_877E_DFBABAEE9A1D_.wvu.Cols" localSheetId="5" hidden="1">'Summary Sheet'!#REF!</definedName>
    <definedName name="Z_A3057831_32FB_4B2B_877E_DFBABAEE9A1D_.wvu.PrintArea" localSheetId="5" hidden="1">'Summary Sheet'!$A$1:$F$80</definedName>
    <definedName name="Z_A3057831_32FB_4B2B_877E_DFBABAEE9A1D_.wvu.PrintTitles" localSheetId="3" hidden="1">'Form-Sb'!$1:$4</definedName>
    <definedName name="Z_A3057831_32FB_4B2B_877E_DFBABAEE9A1D_.wvu.Rows" localSheetId="4" hidden="1">'Base line Parameters'!#REF!,'Base line Parameters'!$74:$81</definedName>
    <definedName name="Z_A3057831_32FB_4B2B_877E_DFBABAEE9A1D_.wvu.Rows" localSheetId="3" hidden="1">'Form-Sb'!#REF!,'Form-Sb'!$590:$597</definedName>
    <definedName name="Z_A3057831_32FB_4B2B_877E_DFBABAEE9A1D_.wvu.Rows" localSheetId="2" hidden="1">'General Information'!#REF!</definedName>
    <definedName name="Z_A3057831_32FB_4B2B_877E_DFBABAEE9A1D_.wvu.Rows" localSheetId="0" hidden="1">'Instructions Sheet'!#REF!,'Instructions Sheet'!#REF!</definedName>
    <definedName name="Z_A3057831_32FB_4B2B_877E_DFBABAEE9A1D_.wvu.Rows" localSheetId="7" hidden="1">'NF-2 Fuel Quality in CPP'!#REF!</definedName>
    <definedName name="Z_A3057831_32FB_4B2B_877E_DFBABAEE9A1D_.wvu.Rows" localSheetId="10" hidden="1">'NF-3 Petcoke'!#REF!,'NF-3 Petcoke'!$17:$18</definedName>
    <definedName name="Z_A3057831_32FB_4B2B_877E_DFBABAEE9A1D_.wvu.Rows" localSheetId="11" hidden="1">'NF-4 PLF'!#REF!</definedName>
    <definedName name="Z_A3057831_32FB_4B2B_877E_DFBABAEE9A1D_.wvu.Rows" localSheetId="12" hidden="1">'NF-5 Power Mix'!#REF!</definedName>
    <definedName name="Z_A3057831_32FB_4B2B_877E_DFBABAEE9A1D_.wvu.Rows" localSheetId="13" hidden="1">'NF-6 Product Mix'!#REF!</definedName>
    <definedName name="Z_A3057831_32FB_4B2B_877E_DFBABAEE9A1D_.wvu.Rows" localSheetId="14" hidden="1">'NF-7 Others'!#REF!</definedName>
    <definedName name="Z_A3057831_32FB_4B2B_877E_DFBABAEE9A1D_.wvu.Rows" localSheetId="5" hidden="1">'Summary Sheet'!#REF!,'Summary Sheet'!$81:$129</definedName>
    <definedName name="Z_C99F6511_B640_4233_AF7C_A65562BCF81E_.wvu.PrintArea" localSheetId="5" hidden="1">'Summary Sheet'!$A$1:$F$80</definedName>
  </definedNames>
  <calcPr fullCalcOnLoad="1"/>
</workbook>
</file>

<file path=xl/comments5.xml><?xml version="1.0" encoding="utf-8"?>
<comments xmlns="http://schemas.openxmlformats.org/spreadsheetml/2006/main">
  <authors>
    <author>alok-mishra</author>
  </authors>
  <commentList>
    <comment ref="B33" authorId="0">
      <text>
        <r>
          <rPr>
            <b/>
            <sz val="9"/>
            <rFont val="Tahoma"/>
            <family val="2"/>
          </rPr>
          <t>alok-mishra:</t>
        </r>
        <r>
          <rPr>
            <sz val="9"/>
            <rFont val="Tahoma"/>
            <family val="2"/>
          </rPr>
          <t xml:space="preserve">
Data to be filled mannually for D1, D2 &amp; D3.</t>
        </r>
      </text>
    </comment>
  </commentList>
</comments>
</file>

<file path=xl/sharedStrings.xml><?xml version="1.0" encoding="utf-8"?>
<sst xmlns="http://schemas.openxmlformats.org/spreadsheetml/2006/main" count="4217" uniqueCount="1697">
  <si>
    <t>S. No</t>
  </si>
  <si>
    <t>Particulars</t>
  </si>
  <si>
    <t>Unit</t>
  </si>
  <si>
    <t>%</t>
  </si>
  <si>
    <t>Electricity Consumption and cost</t>
  </si>
  <si>
    <t>Production and capacity utilization details</t>
  </si>
  <si>
    <t>A</t>
  </si>
  <si>
    <t>B</t>
  </si>
  <si>
    <t>Through DG sets</t>
  </si>
  <si>
    <t>Through Gas turbine</t>
  </si>
  <si>
    <t xml:space="preserve">Solid Fuel Consumption </t>
  </si>
  <si>
    <t>Liquid Fuel Consumption</t>
  </si>
  <si>
    <t>Furnace Oil</t>
  </si>
  <si>
    <t>Low Sulphur Heavy Stock (LSHS)</t>
  </si>
  <si>
    <t>High Sulphur Heavy Stock (HSHS)</t>
  </si>
  <si>
    <t>High Speed Diesel (HSD)</t>
  </si>
  <si>
    <t>Light Diesel Oil (LDO)</t>
  </si>
  <si>
    <t>Gaseous Fuel</t>
  </si>
  <si>
    <t>Liquefied Petroleum Gas (LPG)</t>
  </si>
  <si>
    <t xml:space="preserve">Plant Connected Load </t>
  </si>
  <si>
    <t xml:space="preserve">Average Gross Heat Rate </t>
  </si>
  <si>
    <t xml:space="preserve">Auxilliary Power Consumption </t>
  </si>
  <si>
    <t xml:space="preserve">Design Heat Rate </t>
  </si>
  <si>
    <t xml:space="preserve">Gross calorific value </t>
  </si>
  <si>
    <t>kW</t>
  </si>
  <si>
    <t xml:space="preserve">Annual Generation </t>
  </si>
  <si>
    <t xml:space="preserve">Quantity purchased </t>
  </si>
  <si>
    <t>Quantity used for power generation</t>
  </si>
  <si>
    <t>Gross calorific value</t>
  </si>
  <si>
    <t>Average Gross calorific value as fired</t>
  </si>
  <si>
    <t>Quantity used for process heating</t>
  </si>
  <si>
    <t xml:space="preserve">Average Density </t>
  </si>
  <si>
    <t>Quantity purchased</t>
  </si>
  <si>
    <t>Average Density</t>
  </si>
  <si>
    <t xml:space="preserve">kVA </t>
  </si>
  <si>
    <t>C</t>
  </si>
  <si>
    <t>D</t>
  </si>
  <si>
    <t>D.1</t>
  </si>
  <si>
    <t>E</t>
  </si>
  <si>
    <t>E.1</t>
  </si>
  <si>
    <t>F</t>
  </si>
  <si>
    <t>F.1</t>
  </si>
  <si>
    <t>G</t>
  </si>
  <si>
    <t>(i)</t>
  </si>
  <si>
    <t>(ii)</t>
  </si>
  <si>
    <t>(iii)</t>
  </si>
  <si>
    <t>(iv)</t>
  </si>
  <si>
    <t>(v)</t>
  </si>
  <si>
    <t>(vi)</t>
  </si>
  <si>
    <t>(vii)</t>
  </si>
  <si>
    <t>(viii)</t>
  </si>
  <si>
    <t>C.2</t>
  </si>
  <si>
    <t>C.3</t>
  </si>
  <si>
    <t>D.2</t>
  </si>
  <si>
    <t>D.3</t>
  </si>
  <si>
    <t>E.2</t>
  </si>
  <si>
    <t>F.2</t>
  </si>
  <si>
    <t xml:space="preserve">Through Steam turbine/ generator   </t>
  </si>
  <si>
    <t>Million SCM</t>
  </si>
  <si>
    <t>MW</t>
  </si>
  <si>
    <t>Million kCal</t>
  </si>
  <si>
    <t xml:space="preserve">Own Generation </t>
  </si>
  <si>
    <t>Coal (Indian)</t>
  </si>
  <si>
    <t>A1</t>
  </si>
  <si>
    <t>A2</t>
  </si>
  <si>
    <t>A3</t>
  </si>
  <si>
    <t>kg/ltr</t>
  </si>
  <si>
    <t>Total Generation of Electricity</t>
  </si>
  <si>
    <t>Electricity Supplied to Grid/others</t>
  </si>
  <si>
    <t>Total Quantity Consumed</t>
  </si>
  <si>
    <t>Quantity used power generation</t>
  </si>
  <si>
    <t>Total HSHS Consumption as fuel</t>
  </si>
  <si>
    <t>Total HSD Consumption as fuel</t>
  </si>
  <si>
    <t>Total LDO Consumption as fuel</t>
  </si>
  <si>
    <t>Total CNG Consumption as fuel</t>
  </si>
  <si>
    <t>Total LPG Consumption as fuel</t>
  </si>
  <si>
    <t>Tonne</t>
  </si>
  <si>
    <t>A4</t>
  </si>
  <si>
    <t>Production Capacity (Clinker)</t>
  </si>
  <si>
    <t>Production Capacity (Cement)</t>
  </si>
  <si>
    <t>Total Clinker Production</t>
  </si>
  <si>
    <t>OPC Production</t>
  </si>
  <si>
    <t>PPC Production</t>
  </si>
  <si>
    <t>Capacity Utilization (Clinker)</t>
  </si>
  <si>
    <t>Capacity Utilization (Cement)</t>
  </si>
  <si>
    <t>A5</t>
  </si>
  <si>
    <t>A6</t>
  </si>
  <si>
    <t>A7</t>
  </si>
  <si>
    <t>A8</t>
  </si>
  <si>
    <t>A9</t>
  </si>
  <si>
    <t>A10</t>
  </si>
  <si>
    <t>Quantity of Gypsum Used</t>
  </si>
  <si>
    <t>Quantity of Fly Ash used</t>
  </si>
  <si>
    <t>Quantity of Slag Used</t>
  </si>
  <si>
    <t>Quantity of any other Additive used</t>
  </si>
  <si>
    <t>A11</t>
  </si>
  <si>
    <t>A12</t>
  </si>
  <si>
    <t>A13</t>
  </si>
  <si>
    <t>Avg. Gross Heat rate of DG Set</t>
  </si>
  <si>
    <t>Lakh kWh</t>
  </si>
  <si>
    <t>(ix)</t>
  </si>
  <si>
    <t>(x)</t>
  </si>
  <si>
    <t>(xi)</t>
  </si>
  <si>
    <t>Through Waste Heat Recovery</t>
  </si>
  <si>
    <t>WHR Running Hours</t>
  </si>
  <si>
    <t>Petcoke</t>
  </si>
  <si>
    <t>Bio mass or Other purchased Renewable solid fuels (pl. specify) baggase, rice husk, etc.</t>
  </si>
  <si>
    <t>A3x100/A1</t>
  </si>
  <si>
    <t>A4x100/A2</t>
  </si>
  <si>
    <t>C.4</t>
  </si>
  <si>
    <t>Annual</t>
  </si>
  <si>
    <t>C.1</t>
  </si>
  <si>
    <t>C.5</t>
  </si>
  <si>
    <t>kilo Litre</t>
  </si>
  <si>
    <t>Total LSHS Consumption as fuel</t>
  </si>
  <si>
    <t>E.3</t>
  </si>
  <si>
    <t xml:space="preserve">Liquid Waste (pl. specify and refer CPCB guidelines, enclosed) </t>
  </si>
  <si>
    <t>Total Thermal Energy Input through all Fuels</t>
  </si>
  <si>
    <t>C.6</t>
  </si>
  <si>
    <t>F.3</t>
  </si>
  <si>
    <t>Name of the Unit</t>
  </si>
  <si>
    <t>Details of Production</t>
  </si>
  <si>
    <t>Basis/Calculation</t>
  </si>
  <si>
    <t>a</t>
  </si>
  <si>
    <t>Annual Production</t>
  </si>
  <si>
    <t>b</t>
  </si>
  <si>
    <t>d</t>
  </si>
  <si>
    <t>Production of OPC</t>
  </si>
  <si>
    <t>e</t>
  </si>
  <si>
    <t>Production of PPC</t>
  </si>
  <si>
    <t>f</t>
  </si>
  <si>
    <t>g</t>
  </si>
  <si>
    <t xml:space="preserve">Clinker Exported </t>
  </si>
  <si>
    <t>h</t>
  </si>
  <si>
    <t>Clinker Imported</t>
  </si>
  <si>
    <t>Conversion Factors (CF) for Clinker to various Cement grades</t>
  </si>
  <si>
    <t>Fraction</t>
  </si>
  <si>
    <t>c</t>
  </si>
  <si>
    <t>Total Thermal Energy Consumption</t>
  </si>
  <si>
    <t>Total Electricity consumed within the plant</t>
  </si>
  <si>
    <t>Electricity Purchased from Grid</t>
  </si>
  <si>
    <t>Total Energy Consumed (Thermal+Electrical)</t>
  </si>
  <si>
    <t>OPC Production equivalent to major product</t>
  </si>
  <si>
    <t>PPC Production equivalent to major product</t>
  </si>
  <si>
    <t xml:space="preserve">PSC/any other verity Cement Production equivalent to major product </t>
  </si>
  <si>
    <t>Total Equivalent major product of Cement</t>
  </si>
  <si>
    <t>Performance Indicators</t>
  </si>
  <si>
    <t>Thermal SEC</t>
  </si>
  <si>
    <t xml:space="preserve"> Electrical SEC (up to Clinkerization)</t>
  </si>
  <si>
    <t>kWh/Tonne Clinker</t>
  </si>
  <si>
    <t xml:space="preserve">Electrical SEC (Cement Grinding) </t>
  </si>
  <si>
    <t>kWh/Tonne Cement</t>
  </si>
  <si>
    <t>Calculation for Gate to Gate SEC</t>
  </si>
  <si>
    <t>Notional Energy Required for grinding of exported Clinker</t>
  </si>
  <si>
    <t>Notional Energy Required for clinkerization of imported Clinker</t>
  </si>
  <si>
    <t>Gate to Gate Energy Consumption</t>
  </si>
  <si>
    <t>Gate to Gate Specific Energy Consumption</t>
  </si>
  <si>
    <t>Annual Installed Capacity</t>
  </si>
  <si>
    <t>Total Cement Production(All  varities)</t>
  </si>
  <si>
    <t>Hrs</t>
  </si>
  <si>
    <t>Source of Data</t>
  </si>
  <si>
    <t>Clinker Factor for OPC</t>
  </si>
  <si>
    <t>Clinker Factor for PPC</t>
  </si>
  <si>
    <t>Clinker Factor for PSC</t>
  </si>
  <si>
    <t>A14</t>
  </si>
  <si>
    <t>A15</t>
  </si>
  <si>
    <t>A16</t>
  </si>
  <si>
    <t>Electricity from Grid / Other</t>
  </si>
  <si>
    <t>Total Electricity Consumed</t>
  </si>
  <si>
    <t>Coal(Imported)</t>
  </si>
  <si>
    <t>Clinker Exported</t>
  </si>
  <si>
    <t>A17</t>
  </si>
  <si>
    <t>A18</t>
  </si>
  <si>
    <t>Notional Energy for Purchased Power</t>
  </si>
  <si>
    <t>Capacity utilization</t>
  </si>
  <si>
    <t>Annual Clinker</t>
  </si>
  <si>
    <t>Annual Cement</t>
  </si>
  <si>
    <t>i</t>
  </si>
  <si>
    <t>Total Combined Cement Production</t>
  </si>
  <si>
    <t>Annual Gross Unit generation</t>
  </si>
  <si>
    <t>Equivalent Thermal Energy supplied to grid/others</t>
  </si>
  <si>
    <t>Pyro-processing</t>
  </si>
  <si>
    <t>(including Pyro-processing and cement mill Hot Air Generator)</t>
  </si>
  <si>
    <t>Gross Unit Generation</t>
  </si>
  <si>
    <t>A19</t>
  </si>
  <si>
    <t>A20</t>
  </si>
  <si>
    <t>A21</t>
  </si>
  <si>
    <t>A22</t>
  </si>
  <si>
    <t>Opening Clinker Stock</t>
  </si>
  <si>
    <t>Closing Clinker Stock</t>
  </si>
  <si>
    <t>Opening Cement Stock</t>
  </si>
  <si>
    <t>Closing Cement Stock</t>
  </si>
  <si>
    <t>j</t>
  </si>
  <si>
    <t>k</t>
  </si>
  <si>
    <t>l</t>
  </si>
  <si>
    <t>m</t>
  </si>
  <si>
    <t xml:space="preserve">                                             Organisation Seal</t>
  </si>
  <si>
    <t>Date:</t>
  </si>
  <si>
    <t>Place:</t>
  </si>
  <si>
    <t>GCV of Fuels</t>
  </si>
  <si>
    <t>GCV of Petcoke</t>
  </si>
  <si>
    <t>GCV of Imported Coal (Process Heating)</t>
  </si>
  <si>
    <t>GCV of Imported Coal (Power Generation)</t>
  </si>
  <si>
    <t>used for kiln</t>
  </si>
  <si>
    <t>used for CPP</t>
  </si>
  <si>
    <t>Details of Other Additives Used</t>
  </si>
  <si>
    <t>B1</t>
  </si>
  <si>
    <t>B2</t>
  </si>
  <si>
    <t>B3</t>
  </si>
  <si>
    <t>B4</t>
  </si>
  <si>
    <t>C1</t>
  </si>
  <si>
    <t>C2</t>
  </si>
  <si>
    <t>C3</t>
  </si>
  <si>
    <t>D1</t>
  </si>
  <si>
    <t>D2</t>
  </si>
  <si>
    <t>D3</t>
  </si>
  <si>
    <t>E1</t>
  </si>
  <si>
    <t>E2.1</t>
  </si>
  <si>
    <t>E.2.2</t>
  </si>
  <si>
    <t>E.4</t>
  </si>
  <si>
    <t>E.5</t>
  </si>
  <si>
    <t>E.6</t>
  </si>
  <si>
    <t>F.4</t>
  </si>
  <si>
    <t>F.5</t>
  </si>
  <si>
    <t xml:space="preserve">Details of Electricity Consumption </t>
  </si>
  <si>
    <t>Clinker used for OPC Production/OPC Produced</t>
  </si>
  <si>
    <t>Clinker used for PPC Production/PPC Produced</t>
  </si>
  <si>
    <t>Clinker used for PSC Production/PSC Produced</t>
  </si>
  <si>
    <t>(OPC Produced X CF Of OPC)/CF of Major Product</t>
  </si>
  <si>
    <t>(PPC Produced X CF Of PPC)/CF of Major Product</t>
  </si>
  <si>
    <t>(PSC Produced X CF Of PSC)/CF of Major Product</t>
  </si>
  <si>
    <t>Million kcal</t>
  </si>
  <si>
    <t>    Clinker to PPC</t>
  </si>
  <si>
    <t xml:space="preserve">  (Signature of the Chief Executive)</t>
  </si>
  <si>
    <t>Plant Load Factor (PLF)</t>
  </si>
  <si>
    <t>Coal(lignite)</t>
  </si>
  <si>
    <t>H</t>
  </si>
  <si>
    <t>I</t>
  </si>
  <si>
    <t>kcal/kWh</t>
  </si>
  <si>
    <t>Weighted Average Heat Rate of CPP Heat Rate All DCs in Cement Sector</t>
  </si>
  <si>
    <t>n</t>
  </si>
  <si>
    <t>Clinker Stock</t>
  </si>
  <si>
    <t>Total Clinker Exported</t>
  </si>
  <si>
    <t>Total Clinker Imported</t>
  </si>
  <si>
    <t>o</t>
  </si>
  <si>
    <t>p</t>
  </si>
  <si>
    <t>(Clinker Exported + Clinker exported to clinker stock)</t>
  </si>
  <si>
    <t>(Clinker imported + Clinker Imported from clinker stock)</t>
  </si>
  <si>
    <t>(Closing Clinker stock- Opening Clinker Stock)</t>
  </si>
  <si>
    <t>Total Exported clinker to major product</t>
  </si>
  <si>
    <t>Total Exported Clinker/CF of Major Product</t>
  </si>
  <si>
    <t>Total Imported Clinker to major product</t>
  </si>
  <si>
    <t>(Total Imported Clinker)/CF of Major Product</t>
  </si>
  <si>
    <t>Average Gross calorific value (Kiln)</t>
  </si>
  <si>
    <t>GCV of Indian Coal</t>
  </si>
  <si>
    <t>C.7</t>
  </si>
  <si>
    <t>Weighted Average Heat Rate of plant</t>
  </si>
  <si>
    <t>kcal/ kWh</t>
  </si>
  <si>
    <t>E.7</t>
  </si>
  <si>
    <t xml:space="preserve">Auxiliary Power Consumption </t>
  </si>
  <si>
    <t>Average Gross calorific value (Power generation)</t>
  </si>
  <si>
    <t>Solid Waste (pl. specify and refer CPCB guidelines, enclosed) rubber tyres chips, Municipal Solid waste etc.</t>
  </si>
  <si>
    <t>Thermal Energy Input through Liquid waste, mentioned in CPCB guidelines,  not to be taken into account</t>
  </si>
  <si>
    <t>Total Liquid waste Consumption as fuel</t>
  </si>
  <si>
    <t>Annual gross generation</t>
  </si>
  <si>
    <t>Annual Gross  generation</t>
  </si>
  <si>
    <t>Lakh Tonne</t>
  </si>
  <si>
    <t>{(Electricity Generated through CPP+Electricity generation through DG Set + Electricity generation through WHR+ Electricity Purchased from Grid) - Electricity exported to Grid}</t>
  </si>
  <si>
    <t>kcal/kg Clinker</t>
  </si>
  <si>
    <t>kcal/kg</t>
  </si>
  <si>
    <t>GCV of Liquid Fuel (FO)</t>
  </si>
  <si>
    <t>GCV of Liquid Fuel (HSD)</t>
  </si>
  <si>
    <t>F.6</t>
  </si>
  <si>
    <t>Kiln-1 Operating Thermal SEC</t>
  </si>
  <si>
    <t>Kiln-1 Running Hours</t>
  </si>
  <si>
    <t>kcal/kg clinker</t>
  </si>
  <si>
    <t>Kiln-2 Operating Thermal SEC</t>
  </si>
  <si>
    <t>Kiln-2 Running Hours</t>
  </si>
  <si>
    <t>Kiln-3 Operating Thermal SEC</t>
  </si>
  <si>
    <t>Kiln-3 Running Hours</t>
  </si>
  <si>
    <t>Kiln-4 Operating Thermal SEC</t>
  </si>
  <si>
    <t>Kiln-4 Running Hours</t>
  </si>
  <si>
    <t>Kiln-5 Operating Thermal SEC</t>
  </si>
  <si>
    <t>Kiln-5 Running Hours</t>
  </si>
  <si>
    <t>Running Hours</t>
  </si>
  <si>
    <t>Electricity Supplied to Colony/others</t>
  </si>
  <si>
    <t xml:space="preserve">Quantity used for process </t>
  </si>
  <si>
    <t>Thermal Energy Used in Power Generation</t>
  </si>
  <si>
    <t>Thermal Energy Used in Process</t>
  </si>
  <si>
    <t>Quantity used for power generation (DG Set)</t>
  </si>
  <si>
    <t>Quantity used for power generation (CPP)</t>
  </si>
  <si>
    <t>Total Liquid Energy Used in Process</t>
  </si>
  <si>
    <t>Total Gaseous Energy Used in Power Generation</t>
  </si>
  <si>
    <t>Total Gaseous Energy Used in Process</t>
  </si>
  <si>
    <t xml:space="preserve"> Total Thermal Energy Used in Process</t>
  </si>
  <si>
    <t>Gross Heat Rate of DG Set</t>
  </si>
  <si>
    <t>Gross Heat Rate of CPP (Steam Turbine)</t>
  </si>
  <si>
    <t>Gross Heat Rate of CPP (Gas Turbine)</t>
  </si>
  <si>
    <t>(i)a</t>
  </si>
  <si>
    <t>(i)b</t>
  </si>
  <si>
    <t>(i)c</t>
  </si>
  <si>
    <t>(ii)a</t>
  </si>
  <si>
    <t>(ii)b</t>
  </si>
  <si>
    <t>(iii)a</t>
  </si>
  <si>
    <t>(iii)b</t>
  </si>
  <si>
    <t>(iv)a</t>
  </si>
  <si>
    <t>(iv)b</t>
  </si>
  <si>
    <t>(v)a</t>
  </si>
  <si>
    <t>(v)b</t>
  </si>
  <si>
    <t>C.2.1</t>
  </si>
  <si>
    <t>C.2.2</t>
  </si>
  <si>
    <t>C.2.3</t>
  </si>
  <si>
    <t>C.2.4</t>
  </si>
  <si>
    <t>Total Own Generation of Electricity</t>
  </si>
  <si>
    <t>(iv)+(v)</t>
  </si>
  <si>
    <t>(v)x(ii)/1000</t>
  </si>
  <si>
    <t>D.4</t>
  </si>
  <si>
    <t>D.5</t>
  </si>
  <si>
    <t>D.6</t>
  </si>
  <si>
    <t>D.7</t>
  </si>
  <si>
    <t>D.8</t>
  </si>
  <si>
    <t>E.8</t>
  </si>
  <si>
    <t>Thermal Energy Used in Power Generation (DG Set)</t>
  </si>
  <si>
    <t>Thermal Energy Used in Power Generation (CPP)</t>
  </si>
  <si>
    <t>kcal/ kg</t>
  </si>
  <si>
    <t>E.9</t>
  </si>
  <si>
    <t>Total Liquid Energy Used in Power Generation (DG Set)</t>
  </si>
  <si>
    <t>Total Liquid Energy Used in Power Generation (CPP)</t>
  </si>
  <si>
    <t>F.1.(viii)+F.2.(vii)</t>
  </si>
  <si>
    <t>Total Thermal Energy</t>
  </si>
  <si>
    <t>G.1</t>
  </si>
  <si>
    <t>G.2</t>
  </si>
  <si>
    <t>G.3</t>
  </si>
  <si>
    <t>D.7+E.7+E.8+F.3</t>
  </si>
  <si>
    <t>D.8+E.9+F.4</t>
  </si>
  <si>
    <t>Gross Heat Rate</t>
  </si>
  <si>
    <t>F.3x10/C.2.3.(ii)</t>
  </si>
  <si>
    <t>H.1</t>
  </si>
  <si>
    <t>H.2</t>
  </si>
  <si>
    <t>H.3</t>
  </si>
  <si>
    <t>I.1</t>
  </si>
  <si>
    <t>I.2</t>
  </si>
  <si>
    <t>I.3</t>
  </si>
  <si>
    <t>kcal/SCM</t>
  </si>
  <si>
    <t>Plant Contact Details &amp; Address</t>
  </si>
  <si>
    <t>City/Town/Village</t>
  </si>
  <si>
    <t>District</t>
  </si>
  <si>
    <t>State</t>
  </si>
  <si>
    <t>Pin</t>
  </si>
  <si>
    <t>Telephone</t>
  </si>
  <si>
    <t>Fax</t>
  </si>
  <si>
    <t>Plant's Chief Executive Name</t>
  </si>
  <si>
    <t>Designation</t>
  </si>
  <si>
    <t>Mobile</t>
  </si>
  <si>
    <t>E-mail</t>
  </si>
  <si>
    <t>Registered Office</t>
  </si>
  <si>
    <t>Company's Chief Executive Name</t>
  </si>
  <si>
    <t>Address</t>
  </si>
  <si>
    <t>Energy Manager Details</t>
  </si>
  <si>
    <t xml:space="preserve">Name  </t>
  </si>
  <si>
    <t>Whether EA or EM</t>
  </si>
  <si>
    <t>EA/EM Registration No.</t>
  </si>
  <si>
    <t>E-mail ID</t>
  </si>
  <si>
    <t>Post Office</t>
  </si>
  <si>
    <t>Sector :-  Cement Sector</t>
  </si>
  <si>
    <t xml:space="preserve"> {Major Product of Cement of  Total exported clinker  (Lakh Tonne) x Electrical SEC of cement grinding (kWh/Tonne of cement) x Weighted average Heat Rate (kcal/kWh)}/10</t>
  </si>
  <si>
    <t xml:space="preserve">[Total Clinker imported (Lakh Tonne) x {Thermal SEC of Clinkerization kCal/kg clinker) x 1000+electrical SEC of clinkerization (kWh/Tonne of clinker)x Weighted average Heat Rate (kCal/kWh)}/10]
</t>
  </si>
  <si>
    <t>kcal/kg equivalent Cement</t>
  </si>
  <si>
    <t>S.No.</t>
  </si>
  <si>
    <t>Raw Material Quality</t>
  </si>
  <si>
    <t>J</t>
  </si>
  <si>
    <t>J.1</t>
  </si>
  <si>
    <t>J.2</t>
  </si>
  <si>
    <t>Burnability</t>
  </si>
  <si>
    <t>Ash</t>
  </si>
  <si>
    <t>Moisture</t>
  </si>
  <si>
    <t>Hydrogen</t>
  </si>
  <si>
    <t>GCV</t>
  </si>
  <si>
    <t>K</t>
  </si>
  <si>
    <t>K.1</t>
  </si>
  <si>
    <t>K.2</t>
  </si>
  <si>
    <t>K.3</t>
  </si>
  <si>
    <t>K.4</t>
  </si>
  <si>
    <t>Kiln-1 Production</t>
  </si>
  <si>
    <t>Kiln-2 Production</t>
  </si>
  <si>
    <t>Kiln-3 Production</t>
  </si>
  <si>
    <t>Kiln-4 Production</t>
  </si>
  <si>
    <t>Kiln-5 production</t>
  </si>
  <si>
    <t>Description</t>
  </si>
  <si>
    <t>Basis/ Calculation</t>
  </si>
  <si>
    <t>Units</t>
  </si>
  <si>
    <t>Kiln Production</t>
  </si>
  <si>
    <t>Ton</t>
  </si>
  <si>
    <t>Weighted Heat Rate</t>
  </si>
  <si>
    <t>No. of running hours</t>
  </si>
  <si>
    <t>TPH</t>
  </si>
  <si>
    <t>Kiln heat rate (kcal/kg) in BY + 0.4673 x (TPH in BY- TPH in AY)</t>
  </si>
  <si>
    <t>kcal/kg of Cli</t>
  </si>
  <si>
    <t>Difference in Kiln Heat Rate</t>
  </si>
  <si>
    <t>Kiln Heat Rate (kcal/kg) in AY - Kiln Heat Rate (kcal/kg) in BY</t>
  </si>
  <si>
    <t>Energy to be subtracted w.r.t. Kiln Thermal Energy Consumption</t>
  </si>
  <si>
    <t>Kiln SPC</t>
  </si>
  <si>
    <t>Kiln SPC in AY=Kiln SPC in BY+0.0943 x (TPH in BY-TPH in AY)</t>
  </si>
  <si>
    <t>kwh/ton of Cli</t>
  </si>
  <si>
    <t>Difference in SPC</t>
  </si>
  <si>
    <t>Kiln SPC in AY-Kiln SPC in BY (kwh/ton of Cli</t>
  </si>
  <si>
    <t>Energy to be subtracted w.r.t. Kiln Electrical and Thermal Energy Consumption</t>
  </si>
  <si>
    <t>Note:</t>
  </si>
  <si>
    <t xml:space="preserve">In the above calculation, installed capacity of kiln/plant is not imminent in the normalization, hence the normalisation is independent of installed capacity </t>
  </si>
  <si>
    <t>Weighted average of all the kilns for overall computation of GtG SEC</t>
  </si>
  <si>
    <t>Kiln Heat rate calculation will be on GCV basis</t>
  </si>
  <si>
    <t>Kiln-1</t>
  </si>
  <si>
    <t>Kiln-2</t>
  </si>
  <si>
    <t>Kiln-3</t>
  </si>
  <si>
    <t>Kiln-4</t>
  </si>
  <si>
    <t>kWh/t clinker</t>
  </si>
  <si>
    <t>(i)d</t>
  </si>
  <si>
    <t>Baseline Year (BY)</t>
  </si>
  <si>
    <t>Kiln-5</t>
  </si>
  <si>
    <t>Total Energy to be subtracted w.r.t. Kiln Electrical and Thermal Energy Consumption</t>
  </si>
  <si>
    <t>Normalization Factor for Fuel Quality in CPP</t>
  </si>
  <si>
    <t>CPP Generation</t>
  </si>
  <si>
    <t>Million kWh</t>
  </si>
  <si>
    <t>Actual CPP Heat Rate</t>
  </si>
  <si>
    <t>Boiler Efficiency</t>
  </si>
  <si>
    <t>92.5- [{50 x (3) + 630x ((4)+ 9x (5))} / (6)]</t>
  </si>
  <si>
    <t>CPP Heat Rate due to Fuel Quality in AY</t>
  </si>
  <si>
    <t>Difference CPP Heat rate from BY to AY</t>
  </si>
  <si>
    <t>(8)AY-(4)BY</t>
  </si>
  <si>
    <t>Energy to be subtracted w.r.t. Fuel Quality</t>
  </si>
  <si>
    <t>Clinker Production</t>
  </si>
  <si>
    <t>Thermal SEC of Clinker</t>
  </si>
  <si>
    <t>Electrical SEC of Clinker</t>
  </si>
  <si>
    <t>kWh/t</t>
  </si>
  <si>
    <t>Petcoke Consumption</t>
  </si>
  <si>
    <t>Normalized Thermal SEC</t>
  </si>
  <si>
    <t>Normalized Electrical SEC</t>
  </si>
  <si>
    <t>Thermal Energy to be subtracted</t>
  </si>
  <si>
    <t>Electrical Energy to be Subtracted</t>
  </si>
  <si>
    <t>Energy to be subtracted w.r.t. change in Fuel</t>
  </si>
  <si>
    <t>(8) + (9)x(4)</t>
  </si>
  <si>
    <t>Normalization Factor for Petcoke Utilization</t>
  </si>
  <si>
    <t>Normalization Factor for PLF variation in CPP</t>
  </si>
  <si>
    <t>Descriptions</t>
  </si>
  <si>
    <t>Basis/ Calculations</t>
  </si>
  <si>
    <t>Actual Gross Heat Rate</t>
  </si>
  <si>
    <t>Normalised Gross Heat Rate</t>
  </si>
  <si>
    <t>Gross generation</t>
  </si>
  <si>
    <t xml:space="preserve">Energy to be subtracted </t>
  </si>
  <si>
    <t xml:space="preserve"> Million kcal</t>
  </si>
  <si>
    <t>Normalization Factor for Power Mix</t>
  </si>
  <si>
    <t>Grid Heat Rate</t>
  </si>
  <si>
    <t>DG Heat Rate</t>
  </si>
  <si>
    <t>% share of Grid</t>
  </si>
  <si>
    <t>% share of DG</t>
  </si>
  <si>
    <t>Notional Energy for All Power Source</t>
  </si>
  <si>
    <t>Normalization Factor for Product Mix</t>
  </si>
  <si>
    <t>Lakh Ton</t>
  </si>
  <si>
    <t>Cement Production</t>
  </si>
  <si>
    <t>PSC Production</t>
  </si>
  <si>
    <t>Kcal/kWh</t>
  </si>
  <si>
    <t>Notional Energy for Grinding</t>
  </si>
  <si>
    <t>Notional Energy for Grinding added in assessment year</t>
  </si>
  <si>
    <t>Notional Energy for Additional Clinker Produced due change in production and additives</t>
  </si>
  <si>
    <t>Total Notional Energy for Product Mix</t>
  </si>
  <si>
    <t>Electricity imported from Grid</t>
  </si>
  <si>
    <t>Electricity exported to grid</t>
  </si>
  <si>
    <t>Electricity generated from Steam Turbine</t>
  </si>
  <si>
    <t>Electricity generated from Gas Turbine</t>
  </si>
  <si>
    <t>Electricity generated from WHR</t>
  </si>
  <si>
    <t>APC of Steam Turbine</t>
  </si>
  <si>
    <t>APC of Gas Turbine</t>
  </si>
  <si>
    <t>Steam Turbine  Gross Heat Rate</t>
  </si>
  <si>
    <t>Gas Turbine  Gross Heat Rate</t>
  </si>
  <si>
    <t>Steam Turbine  Net Heat Rate</t>
  </si>
  <si>
    <t>Gas Turbine  Net Heat Rate</t>
  </si>
  <si>
    <t>% share of Steam Turbine</t>
  </si>
  <si>
    <t>% share of Gas Turbine</t>
  </si>
  <si>
    <t>Total Electricity Availability</t>
  </si>
  <si>
    <t>Electricity generated from DG</t>
  </si>
  <si>
    <t>Total Electricity Consumption With in plant</t>
  </si>
  <si>
    <t xml:space="preserve"> WHR generated Electricity  Consumption  </t>
  </si>
  <si>
    <t xml:space="preserve">Gas Turbine generated Electricity  Consumption  </t>
  </si>
  <si>
    <t>1.a</t>
  </si>
  <si>
    <t>1.b</t>
  </si>
  <si>
    <t>1.c</t>
  </si>
  <si>
    <t>1.d</t>
  </si>
  <si>
    <t>1.e</t>
  </si>
  <si>
    <t>3.a</t>
  </si>
  <si>
    <t>3.b</t>
  </si>
  <si>
    <t>3.c</t>
  </si>
  <si>
    <t>3.d</t>
  </si>
  <si>
    <t>3.e</t>
  </si>
  <si>
    <t>Clinker to OPC</t>
  </si>
  <si>
    <t>Clinker to PPC</t>
  </si>
  <si>
    <t>Notional Energy for Capacity Utilization</t>
  </si>
  <si>
    <t>NF-1 Capacity Utilization Calculation Sheet</t>
  </si>
  <si>
    <t>Notional Energy for Fuel Quality in CPP</t>
  </si>
  <si>
    <t>Notional Energy for Petcoke Utilization</t>
  </si>
  <si>
    <t>Notional Energy for PLF</t>
  </si>
  <si>
    <t>Notional Energy for Power Mix</t>
  </si>
  <si>
    <t>Notional Energy for Product Mix</t>
  </si>
  <si>
    <t>NF-2 Fuel Quality in CPP Calculation Sheet</t>
  </si>
  <si>
    <t>NF-3 Petcoke Utilization Calculation Sheet</t>
  </si>
  <si>
    <t>NF-4 PLF Calculation Sheet</t>
  </si>
  <si>
    <t>NF-5 Power Mix Calculation Sheet</t>
  </si>
  <si>
    <t>NF-6 Product Mix Calculation Sheet</t>
  </si>
  <si>
    <t>kWh/short Ton</t>
  </si>
  <si>
    <t>Factor</t>
  </si>
  <si>
    <t>Hours</t>
  </si>
  <si>
    <t>Normalization Factors</t>
  </si>
  <si>
    <t>Normalized Gate to Gate Specific Energy Consumption</t>
  </si>
  <si>
    <t>(7)+(10a)+(10b)+(10c)</t>
  </si>
  <si>
    <t>(i)e</t>
  </si>
  <si>
    <t>(ii)c</t>
  </si>
  <si>
    <t>(ii)d</t>
  </si>
  <si>
    <t>(iii)e</t>
  </si>
  <si>
    <t>(iii)d</t>
  </si>
  <si>
    <t>(iii)c</t>
  </si>
  <si>
    <t>(iv)c</t>
  </si>
  <si>
    <t>(iv)d</t>
  </si>
  <si>
    <t>(iv)e</t>
  </si>
  <si>
    <t>(v)c</t>
  </si>
  <si>
    <t>(v)d</t>
  </si>
  <si>
    <t>(v)e</t>
  </si>
  <si>
    <t>(ii)e</t>
  </si>
  <si>
    <t>Kiln Capacity and Operating  SEC</t>
  </si>
  <si>
    <t>Total Electricity  Purchased from grid/ Other</t>
  </si>
  <si>
    <t>Total Solid Fuel Energy Used in Power Generation</t>
  </si>
  <si>
    <t>Total Solid Fuel  Energy Used in Process</t>
  </si>
  <si>
    <t>Total Furnace Oil Consumption as fuel</t>
  </si>
  <si>
    <t>Details</t>
  </si>
  <si>
    <t>Please provide total Annual Production of Cement (all grinding units, within the plant) in Tonnes.</t>
  </si>
  <si>
    <t>Formula protected (Annual production of clinker/ Annual production capacity of clinker)</t>
  </si>
  <si>
    <t>Formula protected (Annual production of cement/annual production capacity of cement)</t>
  </si>
  <si>
    <t>Please provide the total annual production of Portland Pozzolana Cement (PPC) within the plant in Tonnes.</t>
  </si>
  <si>
    <t>Please provide the total annual production of Portland Slag Cement (PSC) or any other variety of cement within the plant in Tonnes.</t>
  </si>
  <si>
    <t>Please provide the total clinker, exported to sister unit outside plant boundary or sold to any other entity in Tonnes.</t>
  </si>
  <si>
    <t>Please provide the total annual clinker, imported from sister units (clinkering) or purchased from any other entity in Tonnes.</t>
  </si>
  <si>
    <t>Please provide the total annual Fly Ash consumption for cement production in Tonnes.</t>
  </si>
  <si>
    <t>Please provide the total annual  Gypsum consumption for cement production in Tonnes.</t>
  </si>
  <si>
    <t>Please provide the total annual Slag consumption for cement production in Tonnes.</t>
  </si>
  <si>
    <t>Please provide the total annual other additive consumption for cement production in Tonnes.</t>
  </si>
  <si>
    <t>Please provide clinker factor for OPC (Clinker used for OPC Production/ OPC Cement Produced)</t>
  </si>
  <si>
    <t>Please provide clinker factor for PPC (Clinker used for PPC Production/ PPC Cement Produced)</t>
  </si>
  <si>
    <t>Please provide clinker factor for PSC (Clinker used for PSC Production/ PSC Cement Produced)</t>
  </si>
  <si>
    <t>(i..v) a</t>
  </si>
  <si>
    <t>Please provide annual kiln wise production in Tonnes.</t>
  </si>
  <si>
    <t>(i..v) b</t>
  </si>
  <si>
    <t>Please provide operating kiln thermal SEC (Total thermal energy consumed in kiln/ total kiln production) in kcal/ kg clinker.</t>
  </si>
  <si>
    <t>(i..v) c</t>
  </si>
  <si>
    <t>Please provide operating kiln electrical SEC (Total electricity consumed in kiln/ total kiln production) in kWh / kg clinker.</t>
  </si>
  <si>
    <t>(i..v) d</t>
  </si>
  <si>
    <t>Please provide kiln wise annual  running hours.</t>
  </si>
  <si>
    <t>Please provide annual electricity purchase from the grid in Lakh kWh.</t>
  </si>
  <si>
    <t>Please provide renewal electricity consumption through wheeling in Lakh kWh.</t>
  </si>
  <si>
    <t>Please provide plant connected load in kW.</t>
  </si>
  <si>
    <t>Please provide plant contract demand with utility in KVA.</t>
  </si>
  <si>
    <t xml:space="preserve">Formula protected ( Equivalent thermal energy of purchase electricity from the grid / others = Total electricity from the grid/ other * 860/10) </t>
  </si>
  <si>
    <t>Own Generation</t>
  </si>
  <si>
    <t>Through DG set</t>
  </si>
  <si>
    <t>Through steam turbine/ Through gas turbine</t>
  </si>
  <si>
    <t>Please provide auxiliary power consumption (APC) in %.</t>
  </si>
  <si>
    <t xml:space="preserve">Through Waste Heat Recovery </t>
  </si>
  <si>
    <t>Please provide gross unit generation from WHR in Lakh kWh.</t>
  </si>
  <si>
    <t>Please provide running hours.</t>
  </si>
  <si>
    <t>Formula Protected (Total Own Generation of Electricity)</t>
  </si>
  <si>
    <t>Please provide quantity of electricity sold to the grid in Lakh kWh.</t>
  </si>
  <si>
    <t>Please provide quantity of electricity consumed in colony /other in Lakh kWh.</t>
  </si>
  <si>
    <t xml:space="preserve">Formula Protected (Equivalent Thermal Energy supplied to the grid/others) </t>
  </si>
  <si>
    <t>Formula Protected (Total Electricity Consumed within Plant)</t>
  </si>
  <si>
    <t>Solid Fuel Consumption</t>
  </si>
  <si>
    <t>Please provide the annual solid fuel quantity purchased in tonnes.</t>
  </si>
  <si>
    <t>Please provide the annual solid fuel quantity consumed in power generation in tonnes.</t>
  </si>
  <si>
    <t>Formula protected (Total solid fuel consumption in the power generation and process)</t>
  </si>
  <si>
    <t>Formula protected (Equivalent thermal energy used in power generation)</t>
  </si>
  <si>
    <t>Formula protected (Equivalent thermal energy used in processing)</t>
  </si>
  <si>
    <t>Biomass and other renewable solid fuel / Solid waste</t>
  </si>
  <si>
    <t>Please provide the gross calorific value of biomass / solid waste in kcal/kg.</t>
  </si>
  <si>
    <t>Formula protected (Total biomass/ solid waste consumption in the power generation and process)</t>
  </si>
  <si>
    <t xml:space="preserve">Formula protected [Total solid fuel (indian coal, petcoke, imported coal, lignite and biomass) thermal energy used in power generation] </t>
  </si>
  <si>
    <t xml:space="preserve">Formula protected [Total solid fuel (indian coal, petcoke, imported coal and lignite ) thermal energy used in processing] </t>
  </si>
  <si>
    <t>Please provide the gross calorific value of furnace oil in kcal/kg.</t>
  </si>
  <si>
    <t>Please provide the density of furnace oil in kg/lit.</t>
  </si>
  <si>
    <t>Formula protected (Total furnace oil used in DG, CPP and process heating multiply by the density)</t>
  </si>
  <si>
    <t>Formula protected ( Total furnace oil thermal energy used in DG set)</t>
  </si>
  <si>
    <t>Formula protected ( Total furnace oil thermal energy used in CPP)</t>
  </si>
  <si>
    <t>Formula protected ( Total furnace oil thermal energy used in Process Heating)</t>
  </si>
  <si>
    <t>E.2/E.3</t>
  </si>
  <si>
    <t>LSHS/HSHS</t>
  </si>
  <si>
    <t>Please provide the gross calorific value of LSHS/HSHS in kcal/kg.</t>
  </si>
  <si>
    <t>Please provide the annual LSHS/HSHS quantity purchase in Tonnes.</t>
  </si>
  <si>
    <t>Formula protected (Total LSHS/HSHS used in DG, CPP and process heating)</t>
  </si>
  <si>
    <t>Formula protected ( Total LSHS/HSHS thermal energy used in DG set)</t>
  </si>
  <si>
    <t>Formula protected ( Total LSHS/HSHS thermal energy used in CPP)</t>
  </si>
  <si>
    <t>Formula protected ( Total LSHS/HSHS thermal energy used in Process Heating)</t>
  </si>
  <si>
    <t>E.4/E.5</t>
  </si>
  <si>
    <t>HSD/LDO</t>
  </si>
  <si>
    <t>Please provide the gross calorific value of HSD/LDO in kcal/kg.</t>
  </si>
  <si>
    <t>Please provide the density of HSD/LDO kg/lit.</t>
  </si>
  <si>
    <t>Formula protected (Total HSD/LDO used in DG, CPP and process heating multiply by the density)</t>
  </si>
  <si>
    <t>Formula protected ( Total HSD/LDO thermal energy used in DG set)</t>
  </si>
  <si>
    <t>Formula protected ( Total HSD/LDO thermal energy used in CPP)</t>
  </si>
  <si>
    <t>Formula protected ( Total HSD/LDO thermal energy used in Process Heating)</t>
  </si>
  <si>
    <t>Liquid Waste</t>
  </si>
  <si>
    <t>Please provide the gross calorific value of liquid waste in kcal/kg.</t>
  </si>
  <si>
    <t>Please provide the density of liquid waste in kg/lit.</t>
  </si>
  <si>
    <t>Formula protected ( Total liquid waste thermal energy used in DG set)</t>
  </si>
  <si>
    <t>Formula protected ( Total liquid waste thermal energy used in CPP)</t>
  </si>
  <si>
    <t>Formula protected ( Total liquid waste thermal energy used in Process Heating)</t>
  </si>
  <si>
    <t xml:space="preserve">Formula protected [Total liquid fuel (furnace oil, LSHS, HSHS, HSD and LDO) thermal energy used in DG set for power generation] </t>
  </si>
  <si>
    <t xml:space="preserve">Formula protected [Total liquid fuel (furnace oil, LSHS, HSHS, HSD and LDO) thermal energy used in CPP for power generation] </t>
  </si>
  <si>
    <t xml:space="preserve">Formula protected [Total liquid fuel (furnace oil, LSHS, HSHS, HSD and LDO) thermal energy used in process heating] </t>
  </si>
  <si>
    <t>Gaseous  Fuel Consumption</t>
  </si>
  <si>
    <t>Formula protected (Total LPG used in power generation and process heating)</t>
  </si>
  <si>
    <t>Formula protected ( Total LPG thermal energy used in power generation)</t>
  </si>
  <si>
    <t>Formula protected ( Total LPG  thermal energy used in Process Heating)</t>
  </si>
  <si>
    <t xml:space="preserve">Formula protected [Total gaseous fuel thermal energy used in power generation] </t>
  </si>
  <si>
    <t xml:space="preserve">Formula protected [Total gaseous  fuel thermal energy used in processing] </t>
  </si>
  <si>
    <t>Formula protected [Total thermal energy of all input fuels ( Solid, Liquid and Gaseous) used in power generation]</t>
  </si>
  <si>
    <t>Formula protected [Total thermal energy of all input fuels ( Solid, Liquid and Gaseous) used in process heating]</t>
  </si>
  <si>
    <t>Formula protected ( Gross heat rate of DG set = Total thermal energy used in DG set/ Total annual generation of DG set)</t>
  </si>
  <si>
    <t>Formula protected ( Gross heat rate of Steam Turbine = Total thermal energy used in Steam Turbine / Total annual generation of Steam Turbine)</t>
  </si>
  <si>
    <t>Formula protected ( Gross heat rate of Gas Turbine = Total thermal energy used in Gas Turbine / Total annual generation of Gas Turbine)</t>
  </si>
  <si>
    <t>Performance indicators</t>
  </si>
  <si>
    <t>Please provide the electrical SEC of cement grinding (include all the unit and utility operations, after clinkerization to the packaging and dispatch, within the plant boundary) in kWh/Ton of cement.</t>
  </si>
  <si>
    <t>Please provide the bond index of raw material in kWh/short Ton.</t>
  </si>
  <si>
    <t>Please provide the burnability of raw material</t>
  </si>
  <si>
    <t>Please provide the GCV value of coal used in CPP</t>
  </si>
  <si>
    <t>Sr No</t>
  </si>
  <si>
    <t>Basis/Formulae</t>
  </si>
  <si>
    <t>(iii)f</t>
  </si>
  <si>
    <t>(iii)g</t>
  </si>
  <si>
    <t>(i)f</t>
  </si>
  <si>
    <t>(i)g</t>
  </si>
  <si>
    <t>(ii)f</t>
  </si>
  <si>
    <t>(ii)g</t>
  </si>
  <si>
    <t>(iv)f</t>
  </si>
  <si>
    <t>(iv)g</t>
  </si>
  <si>
    <t>(v)f</t>
  </si>
  <si>
    <t>(v)g</t>
  </si>
  <si>
    <t>Clinker Factor for PSC/others</t>
  </si>
  <si>
    <t>Kiln-1 Operating Electrical SEC</t>
  </si>
  <si>
    <t>Kiln-2 Operating Electrical SEC</t>
  </si>
  <si>
    <t>Kiln-3 Operating Electrical SEC</t>
  </si>
  <si>
    <t>Kiln-4 Operating Electrical SEC</t>
  </si>
  <si>
    <t>Kiln-5 Operating Electrical SEC</t>
  </si>
  <si>
    <t xml:space="preserve">Electricity Consumption </t>
  </si>
  <si>
    <t>Purchased Electricity from grid (SEB)</t>
  </si>
  <si>
    <t>Renewable Electricity (Through Wheeling)</t>
  </si>
  <si>
    <t>Electricity from CPP located outside from plant boundary (Through Wheeling)</t>
  </si>
  <si>
    <t>Contract Demand with utility</t>
  </si>
  <si>
    <t>(vii)x860/10</t>
  </si>
  <si>
    <t>Installed Capacity</t>
  </si>
  <si>
    <t xml:space="preserve">WHR Installed Capacity </t>
  </si>
  <si>
    <t>Please provide total annual production capacity of clinker of all kilns in Tonnes</t>
  </si>
  <si>
    <t>Please provide total annual production capacity of Cement (all grinding units within the plant) in Tonnes.</t>
  </si>
  <si>
    <t>Please provide the total annual production of Ordinary Portland Cement (OPC) within the plant in Tonnes.</t>
  </si>
  <si>
    <t>(i..v) e</t>
  </si>
  <si>
    <t>(i..v) f</t>
  </si>
  <si>
    <t>(i..v) g</t>
  </si>
  <si>
    <t>Please provide electricity consumption from CPP located outside of the plant boundary though wheeling in Lakh kWh.</t>
  </si>
  <si>
    <t>Formula protected (Total electricity purchased from grid = Electricity purchased from grid + Renewal Electricity Consumption + Electricity consumption from CPP outside Plant boundary through wheeling )</t>
  </si>
  <si>
    <t>Please provide gross unit generation from DG sets in Lakh kWh.</t>
  </si>
  <si>
    <t>Please provide designed gross heat rate of DG sets in kcal/kWh.</t>
  </si>
  <si>
    <t>Please provide annual running hours of DG sets.</t>
  </si>
  <si>
    <t>Please provide installed capacity of DG sets in MW.</t>
  </si>
  <si>
    <t>Please provide gross unit generation of all the Units in Lakh kWh.</t>
  </si>
  <si>
    <t>Please provide installed capacity of all the Units in MW.</t>
  </si>
  <si>
    <t>Please provide Design Heat Rate of all the Units in kcal/kWh.</t>
  </si>
  <si>
    <t>Please provide annual running hours of all the units.</t>
  </si>
  <si>
    <t>Please provide installed capacity of WHR in MW.</t>
  </si>
  <si>
    <t>Please provide the gross calorific value (As Fired Basis) of solid fuel consumed for power generation in kcal/kg.</t>
  </si>
  <si>
    <t>Please provide the gross calorific value (As Fired Basis) of solid fuel consumed in the process in kcal/kg.</t>
  </si>
  <si>
    <t>Please provide the annual solid fuel quantity consumed in process in tonnes.</t>
  </si>
  <si>
    <t>Please provide the annual biomass/ solid waste Consumed in power generation in tonnes.</t>
  </si>
  <si>
    <t>Please provide the annual biomass/ solid waste consumed in processing in tonnes.</t>
  </si>
  <si>
    <t>Please provide the LSHS/HSHS quantity consumed in DG set for power generation in Tonnes.</t>
  </si>
  <si>
    <t>Please provide the LSHS/HSHS quantity consumed in CPP for power generation in Tonnes.</t>
  </si>
  <si>
    <t>Please provide the LSHS/HSHS quantity consumed in process heating.</t>
  </si>
  <si>
    <t xml:space="preserve">Please provide the thermal SEC of clinker (SEC calculated on Gross Calorific Value (GCV) basis) in kcal/kg of clinker [SEC of kiln= Total Thermal Energy consumed in kiln/Clinker Production in kcal/kg of Clinker]
</t>
  </si>
  <si>
    <t>Please provide the Ash %  in coal used in CPP</t>
  </si>
  <si>
    <t>Please provide the Moisture %  in coal used in CPP</t>
  </si>
  <si>
    <t>Please provide the Hydrogen %  in coal used in CPP</t>
  </si>
  <si>
    <t>Coal Quality in CPP (As Fired Basis)</t>
  </si>
  <si>
    <t>Kiln SPC= Kiln Specific Power consumption</t>
  </si>
  <si>
    <t>Total Electricity Consumption With in plant exculding WHR</t>
  </si>
  <si>
    <t>(1)/(3)</t>
  </si>
  <si>
    <t>Process Flow Diagram Attached</t>
  </si>
  <si>
    <t>Yes/No</t>
  </si>
  <si>
    <t>L</t>
  </si>
  <si>
    <t xml:space="preserve">Compulsory to attach yearwise Plant's  Process Flow Diagram </t>
  </si>
  <si>
    <t>Electricity through Grid / Other (Including colony and others)</t>
  </si>
  <si>
    <t>C.6*2717/10</t>
  </si>
  <si>
    <t>C.8</t>
  </si>
  <si>
    <t>Electricity Exported to Grid/others</t>
  </si>
  <si>
    <t xml:space="preserve">Formula Protected (Electricity Suplied to the grid/others) </t>
  </si>
  <si>
    <t>Nos</t>
  </si>
  <si>
    <t>(i)h</t>
  </si>
  <si>
    <t>Kiln-1 Cold to Hot start due to external factors</t>
  </si>
  <si>
    <t>(ii)h</t>
  </si>
  <si>
    <t>(iii)h</t>
  </si>
  <si>
    <t>(iv)h</t>
  </si>
  <si>
    <t>(i..v) h</t>
  </si>
  <si>
    <t>(v)h</t>
  </si>
  <si>
    <t>Cold to Hot kiln Start due to external factor</t>
  </si>
  <si>
    <t>(0.1829 x TPH in AY + 197.41 ) x (Nos of Cold Startup in AY-Nos of Cold Startup in BY)</t>
  </si>
  <si>
    <t>Energy to be subtracted w.r.t. additional Kiln Cold startup  for Thermal Energy Consumption</t>
  </si>
  <si>
    <t>Electrical SEC (up to Clinkerization)</t>
  </si>
  <si>
    <t>M</t>
  </si>
  <si>
    <t>L1</t>
  </si>
  <si>
    <t>kcal/kg of Clinker</t>
  </si>
  <si>
    <t>[(7)AY-(3)BY]x(1)AY/10</t>
  </si>
  <si>
    <t>[(6)AY-(2)BY]x(1)AYx100</t>
  </si>
  <si>
    <t>kWh/t of Clinker</t>
  </si>
  <si>
    <t>Equivalent major grade cement Production for Normalisation</t>
  </si>
  <si>
    <t>Plant Availability Factor</t>
  </si>
  <si>
    <t>Remarks</t>
  </si>
  <si>
    <t>Total Electricity  Purchased from grid/ Other with out colony/construction  power etc</t>
  </si>
  <si>
    <t>Equivalent Thermal Energy of Purchased Electricity from Grid / Other without colony/construction power etc</t>
  </si>
  <si>
    <t>Electricity Supplied to Grid/Colony/others from CPP</t>
  </si>
  <si>
    <t>Coal 1</t>
  </si>
  <si>
    <t>Coal 2</t>
  </si>
  <si>
    <t>Coal 3</t>
  </si>
  <si>
    <t>Coal 4 (Other Solid Fuel)</t>
  </si>
  <si>
    <t>D.9</t>
  </si>
  <si>
    <t>D.10</t>
  </si>
  <si>
    <t>D.11</t>
  </si>
  <si>
    <t>D.12</t>
  </si>
  <si>
    <t>Lime Stone Bond Index</t>
  </si>
  <si>
    <t>D.1/D.2/D.3/D.4 / D.5 /D.6/D.7/D.8</t>
  </si>
  <si>
    <t>Coal (Indian) / Petcoke/ Coal (Imported) / Coal (Lignite)/Coal 1/Coal 2/Coal 3/ Coal 4 (Other Solid Fuel)</t>
  </si>
  <si>
    <t>D.9/D.10</t>
  </si>
  <si>
    <t>C.2.2.1</t>
  </si>
  <si>
    <t>Plant Availability Factor (PAF)</t>
  </si>
  <si>
    <t>C.2.2.2</t>
  </si>
  <si>
    <t>C.2.2.3</t>
  </si>
  <si>
    <t>The % of Loss in loading due to external factor like Low Power demand due to market condition, Unavailability of Fuel, other external circumstances not contolled by plant. This will be calculated through Loading and total nos of hours in operation at low plant factor bifurcated with internal and external factor.</t>
  </si>
  <si>
    <t>% of loss due to external Factors</t>
  </si>
  <si>
    <t xml:space="preserve">Designed Gross Heat Rate </t>
  </si>
  <si>
    <t xml:space="preserve">Design Gross Heat Rate </t>
  </si>
  <si>
    <t>H.4</t>
  </si>
  <si>
    <t>kcal/kwh</t>
  </si>
  <si>
    <t>Natural Gas (CNG/NG/PNG/LNG)</t>
  </si>
  <si>
    <t>Million kg</t>
  </si>
  <si>
    <t>Normalization Factor- Others</t>
  </si>
  <si>
    <t>Miscelleneous Data</t>
  </si>
  <si>
    <t>Additional Electrical Energy Consumed</t>
  </si>
  <si>
    <t>Additional Thermal Energy Consumed</t>
  </si>
  <si>
    <t>Biomass replacement with Fossil fuel due to un-availbility used in the process</t>
  </si>
  <si>
    <t>Alternate Solid Fuel replacement with Fossil fuel due to un-availbility used in the process</t>
  </si>
  <si>
    <t>Alternate Liquid Fuel replacement with Fossil fuel due to un-availbility used in the process</t>
  </si>
  <si>
    <t>Unforeseen Circumstances</t>
  </si>
  <si>
    <t>Electrical Energy to be Normalised</t>
  </si>
  <si>
    <t>Thermal Energy to be Normalised</t>
  </si>
  <si>
    <t>(i)i</t>
  </si>
  <si>
    <t>Electrical Energy Consumed due to commissioning of Equipment</t>
  </si>
  <si>
    <t>Thermal Energy Consumed due to commissioning of Equipment</t>
  </si>
  <si>
    <t>New Line/Unit Commissioning</t>
  </si>
  <si>
    <t xml:space="preserve">Electrical Energy Consumed due to commissioning of New process Line/Unit till it attains 70% of Capacity Utilisation </t>
  </si>
  <si>
    <t xml:space="preserve">Thermal Energy Consumed due to commissioning of New Process Line/Unit till it attains 70% of Capacity Utilisation </t>
  </si>
  <si>
    <t>Thermal Energy Consumed due to commissioning of New Line/Unit till it attains 70% of Capacity Utilisation in Power generation</t>
  </si>
  <si>
    <t>Clinker Production till new line attains 70% of Capacity utilisatiion</t>
  </si>
  <si>
    <t>Tonns</t>
  </si>
  <si>
    <t>Electrical Energy Consumed from external source due to commissioning of New Line/Unit till it attains 70% of Capacity Utilisation in Power generation</t>
  </si>
  <si>
    <t>Date of Commissioning (70% Capacity Utilisation)</t>
  </si>
  <si>
    <t>Date</t>
  </si>
  <si>
    <t>(i)j</t>
  </si>
  <si>
    <t>(i)k</t>
  </si>
  <si>
    <t>Project Activities (Construction Phase)</t>
  </si>
  <si>
    <t>Kiln-2 Hot to Cold stop due to external factor</t>
  </si>
  <si>
    <t>Kiln-2 Cold to Hot start due to external factors</t>
  </si>
  <si>
    <t>Kiln-3 Hot to Cold stop due to external factor</t>
  </si>
  <si>
    <t>Kiln-3 Cold to Hot start due to external factors</t>
  </si>
  <si>
    <t>Kiln-4 Hot to Cold stop due to external factor</t>
  </si>
  <si>
    <t>Kiln-4 Cold to Hot start due to external factors</t>
  </si>
  <si>
    <t>Kiln-5 Hot to Cold stop due to external factor</t>
  </si>
  <si>
    <t>Kiln-5 Cold to Hot start due to external factors</t>
  </si>
  <si>
    <t xml:space="preserve">Energy to be subtracted w.r.t. kiln Hot to Cold Stop </t>
  </si>
  <si>
    <t>Notional Energy for other Factors</t>
  </si>
  <si>
    <t>NF-7 Others Normalisation</t>
  </si>
  <si>
    <t>Additional Electrical &amp; Thermal Energy Consumed due to Environmental Concern</t>
  </si>
  <si>
    <t xml:space="preserve">Biomass Gross Calorific Value </t>
  </si>
  <si>
    <t>Liquid Alternate Fuel Gross Calorific Value</t>
  </si>
  <si>
    <t>Soild Alternate Fuel Gross Calorific  Value</t>
  </si>
  <si>
    <t>Additional Electrical &amp; Thermal Energy Consumed due to commissioning of Equipment (Construction Phase)</t>
  </si>
  <si>
    <t xml:space="preserve">Electrical &amp; Thermal Energy Consumed due to commissioning of New process Line/Unit till it attains 70% of Capacity Utilisation </t>
  </si>
  <si>
    <t>Electrical &amp; Thermal Energy Consumed from external source due to commissioning of New Line/Unit till it attains 70% of Capacity Utilisation in Power generation</t>
  </si>
  <si>
    <t>Electrical &amp; Thermal Energy to be Normalised consumed due to unforeseen circumstances</t>
  </si>
  <si>
    <t>$ Authentic documents in support of claim in Thermal and Electrical Energy is required</t>
  </si>
  <si>
    <t>(i)l</t>
  </si>
  <si>
    <t>(ii)i</t>
  </si>
  <si>
    <t>(ii)j</t>
  </si>
  <si>
    <t>(ii)k</t>
  </si>
  <si>
    <t>(iii)i</t>
  </si>
  <si>
    <t>(iii)j</t>
  </si>
  <si>
    <t>(iii)k</t>
  </si>
  <si>
    <t>(iv)i</t>
  </si>
  <si>
    <t>(iv)j</t>
  </si>
  <si>
    <t>(iv)k</t>
  </si>
  <si>
    <t>Kiln-4 Cold to Hot start due to external factors (Electrical Energy Consumption)</t>
  </si>
  <si>
    <t>Kiln-3 Cold to Hot start due to external factors (Electrical Energy Consumption)</t>
  </si>
  <si>
    <t>Kiln-3 Hot to Cold stop due to external factor (Electrical Energy Consumption)</t>
  </si>
  <si>
    <t>Kiln-2 Cold to Hot start due to external factors (Electrical Energy Consumption)</t>
  </si>
  <si>
    <t>Kiln-4 Hot to Cold stop due to external factor (Electrical Energy Consumption)</t>
  </si>
  <si>
    <t>Kiln-5 Cold to Hot start due to external factors (Electrical Energy Consumption)</t>
  </si>
  <si>
    <t>(v)i</t>
  </si>
  <si>
    <t>(v)j</t>
  </si>
  <si>
    <t>(v)k</t>
  </si>
  <si>
    <t>Kiln-5 Hot to Cold stop due to external factor (Electrical Energy Consumption)</t>
  </si>
  <si>
    <t>Kiln-2 Hot to Cold stop due to external factor (Electrical Energy Consumption)</t>
  </si>
  <si>
    <t>Kiln-1 Cold to Hot start due to external factors (Electrical Energy Consumption)</t>
  </si>
  <si>
    <t xml:space="preserve">Kiln-1 Cold to Hot start due to internal factors </t>
  </si>
  <si>
    <t xml:space="preserve">Kiln-2 Cold to Hot start due to internal factors </t>
  </si>
  <si>
    <t xml:space="preserve">Kiln-3 Cold to Hot start due to internal factors </t>
  </si>
  <si>
    <t xml:space="preserve">Kiln-4 Cold to Hot start due to internal factors </t>
  </si>
  <si>
    <t>Kiln Hot to Cold stop due to external factor (Electrical Energy Consumption)</t>
  </si>
  <si>
    <t>Kiln Cold to Hot Start due to external factor (Electrical Energy Consumption)</t>
  </si>
  <si>
    <t>Kiln Heat Rate Normalisation (Thermal Energy)</t>
  </si>
  <si>
    <t>Kiln Specific Power Consumption Normalisation (Electrical Energy)</t>
  </si>
  <si>
    <t>Energy to be subtracted w.r.t. kiln Cold start up for Electrical Energy Consumption</t>
  </si>
  <si>
    <t>(1)x(2)x(14)/10^6</t>
  </si>
  <si>
    <t>Clinker to PSC/any other variety of cement</t>
  </si>
  <si>
    <t>(11)+(12)+(15)+(16)+(17)</t>
  </si>
  <si>
    <t>Kiln-1 (18) +Kiln-2 (18)+Kiln-3 (18)+Kiln-4 (18)+Kiln-5 (18)</t>
  </si>
  <si>
    <t>Yes</t>
  </si>
  <si>
    <t>Document Available for Normalisation</t>
  </si>
  <si>
    <t>Capacity Utilization-Document Available for Normalisation</t>
  </si>
  <si>
    <t>Fuel Quality in CPP-Document Available for Normalisation</t>
  </si>
  <si>
    <t>Petcoke Utilization in Kiln-Document Available for Normalisation</t>
  </si>
  <si>
    <t>Documentation for Normalisation</t>
  </si>
  <si>
    <t>CPP PLF- Document Available for Normalisation</t>
  </si>
  <si>
    <t>Power Mix-Document Available for Normalisation</t>
  </si>
  <si>
    <t>Product Mix-Document Available for Normalisation</t>
  </si>
  <si>
    <t>L.1</t>
  </si>
  <si>
    <t>L.2</t>
  </si>
  <si>
    <t>L.3</t>
  </si>
  <si>
    <t>L.4</t>
  </si>
  <si>
    <t>L.5</t>
  </si>
  <si>
    <t>N</t>
  </si>
  <si>
    <t>Please provide the annual Hot-Hot start in Nos</t>
  </si>
  <si>
    <t>Please provide the total annual Hot-Cold Stoppage Hours for kiln due to external factor</t>
  </si>
  <si>
    <t>Please provide the total annual Hot-Cold Stoppage Nos for kiln due to external factor</t>
  </si>
  <si>
    <t>(i..v) i</t>
  </si>
  <si>
    <t>Biomass/ Alternate Fuel availability (as per Sr. No D.9/D.10/E.6)</t>
  </si>
  <si>
    <t xml:space="preserve">Additional Equipment installation after baseline year due to Environmental Concern </t>
  </si>
  <si>
    <t>Miscelleneous Data $</t>
  </si>
  <si>
    <t>(i..v) j</t>
  </si>
  <si>
    <t>Please provide the total annual Cold-Hot Start Hours for kiln due to external factor</t>
  </si>
  <si>
    <t>Please provide the total annual Cold-Hot Start Nos for kiln due to external factor</t>
  </si>
  <si>
    <t>(i..v) k</t>
  </si>
  <si>
    <t>(i..v) l</t>
  </si>
  <si>
    <t xml:space="preserve">Please provide the annual Cold-Hot Start in Nos due to internal factors </t>
  </si>
  <si>
    <t>Note</t>
  </si>
  <si>
    <t xml:space="preserve"> (i)</t>
  </si>
  <si>
    <t xml:space="preserve"> (ii)</t>
  </si>
  <si>
    <t>Solid/Liquid/Gaseous Fuel consumption of each additional equipment installed from 1st Apr to 31st March</t>
  </si>
  <si>
    <t>L2</t>
  </si>
  <si>
    <t>Fossil Fuel: Coal/Lignite/Fuel Oil</t>
  </si>
  <si>
    <t>Please provide the details of repalcement of Bio-mass with fossil fuel due to un-avaialability. This is required in fossil fuel tonnage in terms of equivalent GCV of Bio-mass (Used in Process)</t>
  </si>
  <si>
    <t>Please provide the details of repalcement of Alternate Solid Fuel with fossil fuel due to un-avaialability.  This is required in fossil fuel tonnage in terms of equivalent GCV of Alternate Solid Fuel (Used in Process)</t>
  </si>
  <si>
    <t>Please provide the details of repalcement of Alternate Liquid Fuel with fossil fuel due to un-avaialability.  This is required in fossil fuel tonnage in terms of equivalent GCV of Alternate Liquid Fuel (Used in Process)</t>
  </si>
  <si>
    <t>L3</t>
  </si>
  <si>
    <t>Energy Meter Readings of each project activity  with list of equipment installed under each activity from 1st Apr to 31st March</t>
  </si>
  <si>
    <t>Solid/Liquid/Gaseous Fuel consumption of each project activity with list of equipment under each activity installed from 1st Apr to 31st March</t>
  </si>
  <si>
    <t>Energy Meter Readings and Power consumpotion details of each additional equipment installed from 1st Apr to 31st March</t>
  </si>
  <si>
    <t>L4</t>
  </si>
  <si>
    <t>Please provide the thermal energy consumed in Million kcal during its commissioning till it attains 70% of the new line capacity utilisation. The energy is calculated after converting from the different fuel GCV used in the new process/line</t>
  </si>
  <si>
    <t>Please provide the clinker production during its commissioning up to 70% of new line/process capacity utilisation in Tonnes</t>
  </si>
  <si>
    <t>Please provide the date of achieving 70% capacity utilisation of new process/line</t>
  </si>
  <si>
    <t>Please provide the thermal energy consumed in Million kcal during its commissioning till it attains 70% of the new unit capacity utilisation. The energy is calculated after converting from the different fuel GCV used in the new unit  in Power generation</t>
  </si>
  <si>
    <t>Please provide the date of achieving 70% capacity utilisation of new unit in Power generation</t>
  </si>
  <si>
    <t>L5</t>
  </si>
  <si>
    <t>Unforeseen Circumstances: Situation not under direct or indirect control of pLant management</t>
  </si>
  <si>
    <t>Please provide the Thermal Energy Consumption with list of unforeseen circumstances consumed in Million kcal claimed for Normalisation</t>
  </si>
  <si>
    <t>Please provide the PFD for baseline as well as for assessment year</t>
  </si>
  <si>
    <t>Rs/Tonne</t>
  </si>
  <si>
    <t>Basic Cost+Taxes+Freight</t>
  </si>
  <si>
    <t>Landed Cost of fuel (Last purchase)</t>
  </si>
  <si>
    <t>Rs/SCM</t>
  </si>
  <si>
    <t>(xii)</t>
  </si>
  <si>
    <t>Please provide opening clinker stock in tonnes.</t>
  </si>
  <si>
    <t>Please provide closing clinker stock in tonnes.</t>
  </si>
  <si>
    <t>Please provide opening cement stock in tonnes.</t>
  </si>
  <si>
    <t>Please provide closing cement stock in tonnes.</t>
  </si>
  <si>
    <t>Sales and Distribution</t>
  </si>
  <si>
    <t>Financial Accounting</t>
  </si>
  <si>
    <t>Material Management</t>
  </si>
  <si>
    <t>Production and Planning</t>
  </si>
  <si>
    <t>Monthly Production Report</t>
  </si>
  <si>
    <t>Daily Production Report</t>
  </si>
  <si>
    <t>(10d)-(12a)-(12b)-(12c)-(12d)-(12e)-(12f)-(12g)</t>
  </si>
  <si>
    <t>MPR</t>
  </si>
  <si>
    <t>DPR</t>
  </si>
  <si>
    <t>MM</t>
  </si>
  <si>
    <t>PP</t>
  </si>
  <si>
    <t>SD</t>
  </si>
  <si>
    <t>FI</t>
  </si>
  <si>
    <t>Market Demand</t>
  </si>
  <si>
    <t>Document related to external factor</t>
  </si>
  <si>
    <t>Grid Failure</t>
  </si>
  <si>
    <t>PM</t>
  </si>
  <si>
    <t>Plant Maintenance</t>
  </si>
  <si>
    <t>Natural Disaster</t>
  </si>
  <si>
    <t>Major change in government policy hampering plant's process system</t>
  </si>
  <si>
    <t>Raw Material un-availability</t>
  </si>
  <si>
    <t>Please provide landed cost of Solid Fuel i.e. Basic Cost+All Taxes + Freight. The landed cost of last purchase order in the financial year</t>
  </si>
  <si>
    <t>Please provide no of hrs per annum during which Plant run on  low load due to Internal Factors/ Breakdown in Plant (Average weighted hours of all the units)</t>
  </si>
  <si>
    <t>Please provide no of hrs per annum during which Plant runs on low load due to Fuel Unavailability/ Market demand/External Condition (Average weighted hours of all the units)</t>
  </si>
  <si>
    <t>Please provide Break down hrs due to internal, Planned and external factor for calculating Plant Availability Factor</t>
  </si>
  <si>
    <t>Frequency of record</t>
  </si>
  <si>
    <t>Daily, Monthly</t>
  </si>
  <si>
    <t>Lot, Daily, Monthly, Quarterly</t>
  </si>
  <si>
    <t>Yearly</t>
  </si>
  <si>
    <t>Lot, Daily, Monthly, Yearly</t>
  </si>
  <si>
    <t>Export Energy Meter</t>
  </si>
  <si>
    <t>Hourly, Daily and Monthly</t>
  </si>
  <si>
    <t>Please provide the annual biomass/ solid waste quantity puchsed in tonnes</t>
  </si>
  <si>
    <t>Please provide the gross calorific value of NG in kcal/SCM.</t>
  </si>
  <si>
    <t>Please provide the annual NG quantity purchase in million SCM.</t>
  </si>
  <si>
    <t>Please provide the NG quantity consumed in power generation in million SCM.</t>
  </si>
  <si>
    <t>Please provide the NG quantity consumed in transportation in million SCM.</t>
  </si>
  <si>
    <t>Please provide the NG quantity consumed in process heating million SCM</t>
  </si>
  <si>
    <t>Formula protected (Total NG used in power generation and process heating)</t>
  </si>
  <si>
    <t>Formula protected ( Total NG thermal energy used in power generation)</t>
  </si>
  <si>
    <t>Formula protected ( Total NG  thermal energy used in Process Heating)</t>
  </si>
  <si>
    <t>Please provide the gross calorific value of LPG in kcal/kg.</t>
  </si>
  <si>
    <t>Please provide the annual LPG quantity purchase in million kg.</t>
  </si>
  <si>
    <t>Please provide the LPG quantity consumed in power generation in million kg.</t>
  </si>
  <si>
    <t>Please provide the LPG quantity consumed in process heating million kg</t>
  </si>
  <si>
    <t xml:space="preserve">Capacity of all the kilns </t>
  </si>
  <si>
    <t>Capacity of all Cement Grinding Plant</t>
  </si>
  <si>
    <t>Production of Clinker from all the kilns</t>
  </si>
  <si>
    <t>Production of Cement from all Cement mills</t>
  </si>
  <si>
    <t>Continouous, Hourly, Daily, Monthly</t>
  </si>
  <si>
    <t>Record Opening and Closing stock on daily basis</t>
  </si>
  <si>
    <t>Packing Plant records</t>
  </si>
  <si>
    <t>Continuous, Hourly, Daily, Monthly</t>
  </si>
  <si>
    <t>O</t>
  </si>
  <si>
    <t>Abbreviations</t>
  </si>
  <si>
    <t>For records and cross checking</t>
  </si>
  <si>
    <t>Energy Management System</t>
  </si>
  <si>
    <t>Monthly</t>
  </si>
  <si>
    <t>Continuous, Hourly, daily, Monthly</t>
  </si>
  <si>
    <t>Hourly, daily, Monthly</t>
  </si>
  <si>
    <t>Plant Availability factor is the factor after deducting the total time of break down and planned stoppage from the total hours avaialble in a year. This is required for calculating the plant load factor</t>
  </si>
  <si>
    <t>Plant Lod factor is the factor of total unit generation in year and maximum unit generation while taking plant avaialability factor into account</t>
  </si>
  <si>
    <t>Plant Load Factor</t>
  </si>
  <si>
    <t xml:space="preserve">Lab Register </t>
  </si>
  <si>
    <t>Stores Receipt</t>
  </si>
  <si>
    <t>Flow Meter, Dip measurement in day tank</t>
  </si>
  <si>
    <t>Daily, Monthly, Yearly</t>
  </si>
  <si>
    <t>Lot, Monthly, Yearly</t>
  </si>
  <si>
    <t>Gas Meter Reading, Bullet Pressure Reading</t>
  </si>
  <si>
    <t>Lot, Dailiy, Monthly, Yearly</t>
  </si>
  <si>
    <t>Contnuous, Daily, Monthly, Yearly</t>
  </si>
  <si>
    <t>Weekly, Monthly, Yearly</t>
  </si>
  <si>
    <t>Lot, Monthly</t>
  </si>
  <si>
    <t>Daily, Monthly, Annual</t>
  </si>
  <si>
    <t>Operator's Shift Register</t>
  </si>
  <si>
    <t>EMS</t>
  </si>
  <si>
    <t>1) Internal material Transfer Records</t>
  </si>
  <si>
    <t xml:space="preserve">1)Electical Meter Record for kiln section </t>
  </si>
  <si>
    <t>1) Monthly Electricity Bills from Utility</t>
  </si>
  <si>
    <t>1) Capacity Enhancement document</t>
  </si>
  <si>
    <t>1) Energy Meter</t>
  </si>
  <si>
    <t>1) OEM document on designed heat rate</t>
  </si>
  <si>
    <t>1) PG test documement</t>
  </si>
  <si>
    <t xml:space="preserve">1) Energy Meter </t>
  </si>
  <si>
    <t>1) colony/Others meter</t>
  </si>
  <si>
    <t xml:space="preserve">1) Stores Receipt Register </t>
  </si>
  <si>
    <t>1)Belt Weigher before Coal Bunker</t>
  </si>
  <si>
    <t xml:space="preserve">1) Limestone Test Certificate </t>
  </si>
  <si>
    <t>1) Raw material Quality test certificate</t>
  </si>
  <si>
    <t xml:space="preserve">1) Weigh Feeder </t>
  </si>
  <si>
    <t xml:space="preserve">1) Record/Document from SAP Entry/Log Book Entry/DPR/MPR </t>
  </si>
  <si>
    <t>1) Equipment/Section wise capacity document from OEM 2) Capacity calculation document submitted for Enviromental Consent</t>
  </si>
  <si>
    <t>1) Lab Testing Register 2) Closing and opening stock</t>
  </si>
  <si>
    <t>1)Kiln Shift operator's Log Register 2) Breakdown report</t>
  </si>
  <si>
    <t>1) Monthly Electricity Bills from Grid 2) Internal Meter reading records for grid incomer</t>
  </si>
  <si>
    <t xml:space="preserve">1) Open Access records 2) Electricity Bills (for Wheeling) </t>
  </si>
  <si>
    <t>1) L-Form document 2) Electrical Inspectorate record</t>
  </si>
  <si>
    <t>1) Total connected Load (TCL) of Plant 2) Equipment List</t>
  </si>
  <si>
    <t xml:space="preserve">1) OEM document for capacity 2) Rating plate of Generator </t>
  </si>
  <si>
    <t>1)Electrical Shift log book 2) Utility Shift Log book</t>
  </si>
  <si>
    <t xml:space="preserve">1) Capacity Enhancement document 2) R&amp;M document </t>
  </si>
  <si>
    <t>1) Energy Meter 2) Equipment List</t>
  </si>
  <si>
    <t>1) Operator's Shift Register 2) CPP Break down  analysis Report</t>
  </si>
  <si>
    <t xml:space="preserve">1) Purchase Order for basic rates and taxes 2) Freight document for rates </t>
  </si>
  <si>
    <t>1) Lab Register on Fuel Testing for Proximate Analysis 2) Callibration Record of instrument used for testing</t>
  </si>
  <si>
    <t>1) Belt Weigh Feeder 2) Solid Flow Meter</t>
  </si>
  <si>
    <t>1) Fuel Flow Meter 2) Weigh Feeder</t>
  </si>
  <si>
    <t>1) Rated Capacity of new unit from OEM 2) Energy Meter Readings and Power Consumption record of unit  from external source with list of equipment installed from 1st Apr to 31st March</t>
  </si>
  <si>
    <t>1) Relevent document on Unforeseen Circumstances beyond the control of plant 2) Energy Meter Readings and Power Consumption during the said period of unforeseen circumstances</t>
  </si>
  <si>
    <t>1) Open Access records 2) Electricity Bills for renewal energy 3) Renewal Purchase Obligation document</t>
  </si>
  <si>
    <t xml:space="preserve">1) Break down report 3) Operators Shift Register </t>
  </si>
  <si>
    <t>1)Vehicle Log book 2) Stores Receipt 3) Fuel Dispenser meter reading 3) Work Order for Internal Transportation</t>
  </si>
  <si>
    <t>1)Operator Shift Register 2) Weighfeeder Reading (Kiln Feed and Fuel Feed) 3) Belt Weigher Reading (Clinker and Fuel Firing)</t>
  </si>
  <si>
    <t>1) EMS 2) Energy Meter 3) Addition Equipment List with capacity and running load</t>
  </si>
  <si>
    <t xml:space="preserve">1) Relevent document on Unforeseen Circumstances beyond the control of plant 2) Energy Meter Readings and Power Consumption during the said period of unforeseen circumstances 3) Thermal Energy Consumption record during the said period of unfreseen circumstances  from DPR/Log book/SAP Entry </t>
  </si>
  <si>
    <t>1)Silo Level 2) Feeding Weighhfeeders 3) Belt Weigher 4) Solid flow meter</t>
  </si>
  <si>
    <t>1) Inventory Report 2) Excise Document (ER1)3) Stores Entry 4) SAP Entry in MM/PP/SD module</t>
  </si>
  <si>
    <t xml:space="preserve">1) Excise Document 2) Stores receipt 3) SAP Entry in FI/SD Module 4) Annual Report </t>
  </si>
  <si>
    <t xml:space="preserve">1) Energy Management System 2) Equipment List kiln section 3) DPR 4) SAP Entry in MM/PP module  </t>
  </si>
  <si>
    <t>1) Daily Power Report 2) Monthly Power Report 3) DG main energy meter reading record 4) Energy Managemen System data</t>
  </si>
  <si>
    <t>1) Daily Power Report 2) Monthly Power Report 3) DG hour meter reading record 4)  Energy Managemen System data</t>
  </si>
  <si>
    <t>1) Daily Generation Report 2) Monthly Generation Report 3) CPP main energy meter reading record 4) Energy Management System data</t>
  </si>
  <si>
    <t>1) Daily Power Report 2) Monthly Power Report 3) Colony/other main energy meter reading record 4) Energy Managemen System data</t>
  </si>
  <si>
    <t>1) Purchase Order 2) Stores Receipt 3) SAP Entry in MM/PP/FI module 4) Annual Report</t>
  </si>
  <si>
    <t>1)Operator Shift Register 2 Weighfeeder Reading (Kiln Feed) 3) Belt Weigher Reading (Clinker ). 4)  Meter Reading</t>
  </si>
  <si>
    <t>1) Material Order copy and denial document from Mines owner 2) SAP entry in MM/FI module on raw material order 3) DPR 4) MPR</t>
  </si>
  <si>
    <t>1)Lab Cement Test Report 2) DPR 3) MPR 4) SAP Entry in MM/PP module 5) Raw material stock entry (Stores)</t>
  </si>
  <si>
    <t xml:space="preserve"> 1) Log Sheet 2) CCR SCADA Report/ Ternds 3) DPR 4) MPR 5) SAP Entry in MM/PP module</t>
  </si>
  <si>
    <t xml:space="preserve">1)Fuel Weighfeeder 2) Fuel Flow Meter 3) DPR 4) MPR 5) SAP Entry in MM/PP module </t>
  </si>
  <si>
    <t>1)Operator Shift Register 2 Weighfeeder Reading (Clinker/Additives) 3) Belt Weigher Reading (Cement ). 4) Solid Flow Reading 5) Meter Reading</t>
  </si>
  <si>
    <t>1) SLDC Reference No. for planned Stoppages from respective Substation 2) Log book record of Main Electrical Substation of Plant 3) DPR 4) MPR 5) SAP entry in PM module of Electrical department</t>
  </si>
  <si>
    <t>1) Supporting Authentic document from Local district Administration 2) Kiln Log Sheet 3) Kiln operators Report book 4) DPR 5) MPR</t>
  </si>
  <si>
    <t>1)Government Notification or Statutory order 2) Authentic document from plant on effect of kiln production due to policy change 3) DPR 4) MPR 5) SAP Entry on production change</t>
  </si>
  <si>
    <t>1) Log Sheet 2) CCR SCADA Report/ Ternds 3) DPR 4) MPR 5) SAP Entry in PP/SD module 6) Excise record (ER1) 7) Annual Report</t>
  </si>
  <si>
    <t>1) Kiln Log book 2) DPR 3) MPR 4) SAP Entry in PP/MM/FI Module 5) Annual Report 6) Fuel test Certificate (Internal and External) 7) Excise Record</t>
  </si>
  <si>
    <t>1) Kiln Log book 2) DPR 3) MPR 4) SAP Entry in PP/MM/FI Module 5) Annual Report 6) Daily Power Report 7) Monthly Power report 8) Excise Record</t>
  </si>
  <si>
    <t>1) Kiln Log book 2) DPR 3) MPR 4) SAP Entry in PP/MM/FI Module 5) Annual Report 6) Daily Power Report 7) Monthly Power report 8) Excise Record 9) CCR Trends</t>
  </si>
  <si>
    <t>1) DPR 2) MPR 3)  Kiln Log Sheet 4) SAP Entry in MM/PP/FI module 5) Annual Report</t>
  </si>
  <si>
    <t>1) DPR 2) MPR 3)  CPP Log Sheet 4) SAP Entry in MM/PP/FI module 5) Annual Report</t>
  </si>
  <si>
    <t>1) Daily Generation Report 2) Monthly Generation Report 3) DG Log Sheet 4) SAP Entry in MM/PP/FI module 5) Annual Report</t>
  </si>
  <si>
    <t>1) Daily Generation Report 2) Monthly Generation Report 3)  CPP Log Sheet 4) SAP Entry in MM/PP/FI module 5) Annual Report</t>
  </si>
  <si>
    <t>1) DPR 2) MPR 3)  Kiln Log Sheet 4) Cement Mill Log Sheet 5) SAP Entry in MM/PP/FI module 6) Annual Report</t>
  </si>
  <si>
    <t>1) Daily Generation Report 2) Monthly Generation Report 3) GG Log Sheet 4) SAP Entry in MM/PP/FI module 5) Annual Report</t>
  </si>
  <si>
    <t>1) DPR 2) MPR 3) GG Log Sheet 4) SAP Entry in MM/PP/FI module 5) Annual Report</t>
  </si>
  <si>
    <t>Equipment Name</t>
  </si>
  <si>
    <t>Section</t>
  </si>
  <si>
    <t xml:space="preserve">Running Load </t>
  </si>
  <si>
    <t>Hours/ Annum</t>
  </si>
  <si>
    <t>Million kcal/annum</t>
  </si>
  <si>
    <t>Lakh kWH/ Annum</t>
  </si>
  <si>
    <t>Million kcal/Annum</t>
  </si>
  <si>
    <r>
      <rPr>
        <b/>
        <sz val="11"/>
        <color indexed="8"/>
        <rFont val="Calibri"/>
        <family val="2"/>
      </rPr>
      <t xml:space="preserve">External Factor: </t>
    </r>
    <r>
      <rPr>
        <sz val="11"/>
        <color theme="1"/>
        <rFont val="Calibri"/>
        <family val="2"/>
      </rPr>
      <t>Market Demand, Grid Failure (Where CPP is not Sync with Grid), Raw material unavailability, Natural Disaster, Rioting or Social unrest, Major change in government policy hampering plant's process system, Any unforeseen circumstances not controlled by plant management</t>
    </r>
  </si>
  <si>
    <t>Please provide the total annual Electrical Energy Consumption for Hot-Cold Stoppage for kiln due to external factor in Lakh kWh</t>
  </si>
  <si>
    <t>Please provide the total annual Electrical Energy Consumption for Cold-Hot Start for kiln due to external factor in Lakh kWh</t>
  </si>
  <si>
    <t>1) OEM document on designed heat rate 2) OEM document on Specific Fuel consumption in kWh/ltr</t>
  </si>
  <si>
    <t xml:space="preserve">Please provide the electrical energy consumed in Lakh kWh during its commissioning till it attains 70% of the new line capacity utilisation </t>
  </si>
  <si>
    <t>Please provide the Electrical Energy consumed in Lakh kWh from external source during its commissioning till it attains 70% of the new unit capacity utilisation in Power generation</t>
  </si>
  <si>
    <t>Please provide the Electrical Energy Consumption with list of unforeseen circumstances consumed in Lakh kWh claimed for Normalisation</t>
  </si>
  <si>
    <t xml:space="preserve">List of additional Equipment installed due to Environmental Concern after baseline year </t>
  </si>
  <si>
    <t>Electricity Consumption $</t>
  </si>
  <si>
    <t>Thermal Consumption $$</t>
  </si>
  <si>
    <t>$</t>
  </si>
  <si>
    <t>$$</t>
  </si>
  <si>
    <t>Equipment wise Document related to consumption of Liquid Fuel, Solid Fuel Aleterante Fuel is required in support of the claim</t>
  </si>
  <si>
    <t>Equipmenmt wise Energy Meter Reading or Energy Management System Data required in support of the claim</t>
  </si>
  <si>
    <t>Date of Commissioning</t>
  </si>
  <si>
    <t xml:space="preserve">1) Authentic Document in relation to Bio-Mass/Alternate Solid Fuel/Alternate Liquid Fuel availability in the region. 2) Test Certificate of Bio-mass from Government Accredited Lab for GCV in Baseline and assessment year 3) Test Certificate of replaced Fossil Fuel GCV </t>
  </si>
  <si>
    <t>1) EMS 2) Energy Meter 3) Addition Equipment List with capacity and running load 4) Purchase Order document 5) SAP Data in MM module</t>
  </si>
  <si>
    <t>1) Fuel Flow Meter 2) Weigh Feeder 3) Purchase Order document 4) SAP Data in MM module</t>
  </si>
  <si>
    <t>1) EMS 2) Energy Meter 3) Addition Equipment List with capacity and running load  3) Purchase Order document 4) SAP Data in MM module</t>
  </si>
  <si>
    <t>Electrical Rated Capacity</t>
  </si>
  <si>
    <t>Thermal Rated Capacity</t>
  </si>
  <si>
    <t>Total</t>
  </si>
  <si>
    <r>
      <t xml:space="preserve">Please provide the Electrical Energy Consumption with list of additional Equipment installed due to Environmental Concern after baseline year in </t>
    </r>
    <r>
      <rPr>
        <b/>
        <sz val="11"/>
        <color indexed="8"/>
        <rFont val="Calibri"/>
        <family val="2"/>
      </rPr>
      <t>Sheet! Addl Eqp List-Env</t>
    </r>
    <r>
      <rPr>
        <sz val="11"/>
        <color theme="1"/>
        <rFont val="Calibri"/>
        <family val="2"/>
      </rPr>
      <t xml:space="preserve">. </t>
    </r>
  </si>
  <si>
    <t xml:space="preserve">List of Equipment to be filled up </t>
  </si>
  <si>
    <t>Assesment Year 2014-15</t>
  </si>
  <si>
    <t>Project Activity Start Date</t>
  </si>
  <si>
    <t xml:space="preserve">List of Equipment and Energy consumed during project activity up to commissining during the Assessment year  </t>
  </si>
  <si>
    <t>Capacity Utilization (Clinker)*</t>
  </si>
  <si>
    <t>Capacity Utilization (Cement)*</t>
  </si>
  <si>
    <t>Kiln TPH*</t>
  </si>
  <si>
    <t>Kiln Heat Rate*</t>
  </si>
  <si>
    <t>*</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</si>
  <si>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</si>
  <si>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</si>
  <si>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Unforeseen circumstances/Labour Strike/Lockouts/Social Unrest/Riots</t>
  </si>
  <si>
    <t>Lakh kwh</t>
  </si>
  <si>
    <t>Energy to be subtracted w.r.t. Kiln Electrical  Energy Consumption for Kiln SPC</t>
  </si>
  <si>
    <t>P</t>
  </si>
  <si>
    <t>Quantity used for process (Pyro)</t>
  </si>
  <si>
    <t>Annual (As Fired Basis)</t>
  </si>
  <si>
    <t>Investment made for achieving target</t>
  </si>
  <si>
    <t>Million Rs</t>
  </si>
  <si>
    <t>The hard copy/Printouts is to be signed by Authorised signatory, if SAP data is used as documents</t>
  </si>
  <si>
    <t>Additional Clinker produced due to change in  production and additive (PPC)</t>
  </si>
  <si>
    <t>Additional Clinker produced due to change in production and additive (PSC)</t>
  </si>
  <si>
    <t>1) Rated Capacity of new Process/line from OEM 2) Energy Meter Readings and Power Consumption record of process/line  with list of equipment installed from 1st Apr to 31st March</t>
  </si>
  <si>
    <t>1) Rated Capacity of new Process/line from OEM 2) Thermal Energy Consumption record with list of equipment  from DPR/Log book/SAP Entry in PP module</t>
  </si>
  <si>
    <t>1) Rated Capacity of new Process/line from OEM 2) Production record from DPR/Log book/SAP Entry in PP module</t>
  </si>
  <si>
    <t xml:space="preserve">1) Relevant document on Unforeseen Circumstances beyond the control of plant 2) Thermal Energy Consumption record during the said period of unforeseen circumstances  from DPR/Log book/SAP Entry </t>
  </si>
  <si>
    <t>The normalisation is subjected to the amendments in the Notified Rules  G.S.R. 269 (E ) dated 30/03/2012</t>
  </si>
  <si>
    <t>(3)X[(2)-(8)]/10</t>
  </si>
  <si>
    <t>Plant low load hrs due to Internal Factors/ Breakdown in Plant</t>
  </si>
  <si>
    <t>Plant low load hrs due to External Factors like Fuel Unavailability/ Market demand/External Condition</t>
  </si>
  <si>
    <t>Normalization Factor for Capacity Utilization*</t>
  </si>
  <si>
    <r>
      <t xml:space="preserve">Please provide total Annual Production of clinker of all kilns </t>
    </r>
    <r>
      <rPr>
        <sz val="11"/>
        <color theme="1"/>
        <rFont val="Calibri"/>
        <family val="2"/>
      </rPr>
      <t>in Tonnes.</t>
    </r>
  </si>
  <si>
    <t>1) OEM Document of kilns capacity                                         2) Enviromental Consent to establish/operate document</t>
  </si>
  <si>
    <t>1) OEM Document of Process line 2) Enviromental Consent to establish/operate document</t>
  </si>
  <si>
    <t>(v)+(vi)</t>
  </si>
  <si>
    <t>(ii)x(v)/1000</t>
  </si>
  <si>
    <t>(ii)x(vi)/1000</t>
  </si>
  <si>
    <t>((v)+(vi)+(vii)) x(iii)</t>
  </si>
  <si>
    <t>[((v))x(iv)]x(ii)/1000</t>
  </si>
  <si>
    <t>[((vi))x(iv)]x(ii)/1000</t>
  </si>
  <si>
    <t>(iv)+(v)+(vi)</t>
  </si>
  <si>
    <t>(iv)x(ii)/1000</t>
  </si>
  <si>
    <t>(vi)x(ii)/1000</t>
  </si>
  <si>
    <t>[(v)+(vi)+(viii)]x(iv)</t>
  </si>
  <si>
    <t>(viii)x(iv)x(ii)/1000</t>
  </si>
  <si>
    <t>[(v)+(vi)+(vii)]x(iv)</t>
  </si>
  <si>
    <t>(v)x(iv)x(ii)/1000</t>
  </si>
  <si>
    <t>(vi)x(iv)x(ii)/1000</t>
  </si>
  <si>
    <t>Thermal Energy Input used for process through Biomass not to be taken into account</t>
  </si>
  <si>
    <t>Thermal Energy Input used for process through solid waste, mentioned in CPCB guidelines,  not to be taken into account</t>
  </si>
  <si>
    <t>1)Cement Silo Full record from Cement Mill Log book 2)SAP entry in SD and FI module 3) SAP entry in PP module 4) Document related to sales impact of market</t>
  </si>
  <si>
    <t>Weighted Heat Rate of Plant</t>
  </si>
  <si>
    <t>Normalized Weighted Heat Rate</t>
  </si>
  <si>
    <t>if [kiln AY(6)&gt;Kiln BY(6),(kiln AY(6)-Kiln BY(6)xkiln AY(2),(kiln AY(6)-Kiln BY(6)xkiln BY(2)]</t>
  </si>
  <si>
    <t>if [kiln AY(7)&gt;Kiln BY(7),(kiln AY(7)-Kiln BY(7)xkiln AY(2),(kiln AY(7)-Kiln BY(7)xkiln BY(2)]</t>
  </si>
  <si>
    <t>Annual(As Fired Basis)</t>
  </si>
  <si>
    <t>Average Moisture in Fuel</t>
  </si>
  <si>
    <t>Please provide the annual solid fuel moisture % (As Received Basis)</t>
  </si>
  <si>
    <t>1) Daily Internal Report from Lab on Fuel Proximate Analysis performed on each lot. 2) Purchase Order, where guaranteed % moisture range is mentioned</t>
  </si>
  <si>
    <t>MWh</t>
  </si>
  <si>
    <t xml:space="preserve">Renewable Purchase obligation of plant (RPO) (Solar &amp; Non-Solar) </t>
  </si>
  <si>
    <t>Quantum of Energy sold under preferential tariff</t>
  </si>
  <si>
    <t>Renewable Energy generator as approved by MNRE</t>
  </si>
  <si>
    <t xml:space="preserve">Steam Turbine generated Electricity  Consumption  </t>
  </si>
  <si>
    <t>    Clinker to OPC</t>
  </si>
  <si>
    <t>Purchased Electricity (Sr No 5 ) X {Weighted average heat rate of all DCs in cement sector( 3208 kcal/kWh) - 860}/10</t>
  </si>
  <si>
    <t>Steam Turbine Net Heat Rate</t>
  </si>
  <si>
    <t xml:space="preserve">Quantum of Renewable Energy Certificates (REC) obtained as a Renewal Energy Generator (Solar &amp; Non-Solar) </t>
  </si>
  <si>
    <t>Please provide Renewal Purchase obligation of plant for the current year in Lakh kWh (Solar and Non-Solar).</t>
  </si>
  <si>
    <t>Please provide Renewal Purchase obligation of plant for the current year in %  (Solar and Non-Solar).</t>
  </si>
  <si>
    <t>Please provide Renewal Purchase obligation of plant for the current year in MW (Solar and Non-Solar).</t>
  </si>
  <si>
    <t>Please provide Renewal Energy Generator Capacity in MW as approved by MNRE</t>
  </si>
  <si>
    <t>Please provide Quantum of Renewable Energy Certificates (REC) obtained as a Renewal Energy Generator (Solar &amp; Non-Solar) in terms of REC equivalnet to 1 MWh</t>
  </si>
  <si>
    <t>Please provide Quantum of Energy sold interms of  preferential tariff under REC Mechanism in MWh</t>
  </si>
  <si>
    <t>1) Renewal Purchase Obligation document</t>
  </si>
  <si>
    <t>1) ‘Certificate for Registration’ to the concerned Applicant as ‘Eligible Entity’ confirming its entitlement to receive Renewable Energy Certificates for the proposed RE Generation
project</t>
  </si>
  <si>
    <t xml:space="preserve">Grid Connected </t>
  </si>
  <si>
    <t>1) Renewable Energy Certificates</t>
  </si>
  <si>
    <t>1) Power Purchase Agreement (PPA) for the capacity related to such generation to sell electricity at preferential tariff determined by the Appropriate Commission</t>
  </si>
  <si>
    <t>Annual(As Received Basis)</t>
  </si>
  <si>
    <t xml:space="preserve">Note: Please do not keep the cell A1-A19 blank </t>
  </si>
  <si>
    <t>Please enter numeric values or leave blank</t>
  </si>
  <si>
    <t>Fomulae Protected</t>
  </si>
  <si>
    <t xml:space="preserve">Please eneter numeric value or "0" </t>
  </si>
  <si>
    <t>(xiii)</t>
  </si>
  <si>
    <t xml:space="preserve">Saving Target in TOE/ton of product as per PAT scheme Notification </t>
  </si>
  <si>
    <t>Equivalent Major Product Output in tonnes as per PAT scheme Notification</t>
  </si>
  <si>
    <t>Tonnes</t>
  </si>
  <si>
    <t>Data not to be filled</t>
  </si>
  <si>
    <t>Select from the list Yes or No</t>
  </si>
  <si>
    <t>tonnes</t>
  </si>
  <si>
    <t>Gate to Gate Energy Consumption after REC compliance</t>
  </si>
  <si>
    <t>Normalized Gate to Gate Specific Energy Consumption after REC compliance</t>
  </si>
  <si>
    <t xml:space="preserve">Target Saving Achieved </t>
  </si>
  <si>
    <t>Renewable Energy Certificate Normalisation</t>
  </si>
  <si>
    <t>Target Saving to be achieved (PAT obligation)</t>
  </si>
  <si>
    <t>Additional Saving achieved (After PAT obligation)</t>
  </si>
  <si>
    <t>Thermal energy conversion for REC and Preferential tariff</t>
  </si>
  <si>
    <t>(xiv)</t>
  </si>
  <si>
    <t>(xv)</t>
  </si>
  <si>
    <t>(xvi)</t>
  </si>
  <si>
    <t>The quantity of exported power ( partially or fully) on which Renewable Energy Certificates have been earned by Designated Consumer in the assessment year under REC mechanism shall  be treated as Exported power and normalization will apply. However, the normalized power export will not qualify for issue of Energy Saving Certificates under PAT Scheme.</t>
  </si>
  <si>
    <t>The quantity of exported power (partially or fully) from Renewable energy which has been sold at a preferential tariff by the Designated consumer in the assessment year under REC mechanism shall be treated as Exported power. However, the normalized power export will not qualify for issue of Energy Saving Certificates under PAT Scheme.</t>
  </si>
  <si>
    <t>Lot,Yearly</t>
  </si>
  <si>
    <t>Lot, Yearly</t>
  </si>
  <si>
    <t>Renewable Energy Certificates Compliance under PAT Scheme</t>
  </si>
  <si>
    <t>Telephone with STD Code</t>
  </si>
  <si>
    <t>Equipment Serial No</t>
  </si>
  <si>
    <t>TOE/Tonnes</t>
  </si>
  <si>
    <t>Thermal Energy to be Normalised for REC and preferential tariff power sell under REC mechanism</t>
  </si>
  <si>
    <t>Please select from drop down list on availability of documents for Capacity Utilization Normalisation</t>
  </si>
  <si>
    <t>Please select from drop down list on availability of documents for Fuel Quality in CPP Normalisation</t>
  </si>
  <si>
    <t>Please select from drop down list on availability of documents for Petcoke Utilization in Kiln Normalisation</t>
  </si>
  <si>
    <t>Please select from drop down list on availability of documents for CPP PLF Normalisation</t>
  </si>
  <si>
    <t>Please select from drop down list on availability of documents for Power Mix Normalisation</t>
  </si>
  <si>
    <t>Please select from drop down list on availability of documents for Product Mix Normalisation</t>
  </si>
  <si>
    <t>Please select from drop down list on availability of documents for Other Factors Normalisation</t>
  </si>
  <si>
    <t>I ……………………………………………….........................…..solemnly declare that to the best of my knowledge the information given in the above summary sheet of  Form 1 there to is correct and complete. I also declare that the information provided for Normalisation is limited to external factors only.</t>
  </si>
  <si>
    <t>I ……………………………………………….........................…..solemnly declare that to the best of my knowledge the information given in the above Form I there to is correct and complete. I also declare that the information provided for Normalisation is limited to external factors only.</t>
  </si>
  <si>
    <t>Others Factors-Document Available for Normalisation</t>
  </si>
  <si>
    <t>NF-1 Power Mix</t>
  </si>
  <si>
    <t>(9) X 10^4</t>
  </si>
  <si>
    <t>(8)BY-(8)AY</t>
  </si>
  <si>
    <t>Total Thermal Energy Used in Power Generation</t>
  </si>
  <si>
    <t>Remarks/ Environmental Law Applicable with Dates</t>
  </si>
  <si>
    <t>kcal/tonne</t>
  </si>
  <si>
    <t>toe/tonne</t>
  </si>
  <si>
    <t xml:space="preserve">Annual </t>
  </si>
  <si>
    <t>(ii)x(vii)*(iv)/1000</t>
  </si>
  <si>
    <t>(3.a)*100/(4)</t>
  </si>
  <si>
    <t>(3.b)*100/(4)</t>
  </si>
  <si>
    <t>(3.c)*100/(4)</t>
  </si>
  <si>
    <t>(3.d)*100/(4)</t>
  </si>
  <si>
    <t>Date of Commissioning (70% Capacity Utilisation) Power Generation</t>
  </si>
  <si>
    <t>Net Electricity Generation till new Line/Unit attains 70% Capacity Utilisation</t>
  </si>
  <si>
    <t>Energy to be added for Power generation of a line /unit till it attains 70% of Capacity Utilisation</t>
  </si>
  <si>
    <t>Kiln-1 Hot to Cold stop due to external factor</t>
  </si>
  <si>
    <t>Kiln-1 Hot to Cold stop due to external factor (Electrical Energy Consumption)</t>
  </si>
  <si>
    <t>(ii)l</t>
  </si>
  <si>
    <t>(iii)l</t>
  </si>
  <si>
    <t>(iv)l</t>
  </si>
  <si>
    <t>(v)l</t>
  </si>
  <si>
    <t>Please provide the net generation in Lakh kwh from the new unit in power generation, used in the Cement Plant till the new unit achieved 70% of Capacity Utilisation</t>
  </si>
  <si>
    <t xml:space="preserve">1) Rated Capacity of new unit from OEM 2) Thermal Energy Consumption record with list of equipment  from DPR/Log book/SAP Entry </t>
  </si>
  <si>
    <t>1) EMS 2) Energy Meter</t>
  </si>
  <si>
    <t>Plant Unavailability hrs due to Planned shutdown, Break down due to internal &amp;  external factor</t>
  </si>
  <si>
    <t>Thermal Energy Saving during the year</t>
  </si>
  <si>
    <t>Electrical energy Saving during the year</t>
  </si>
  <si>
    <t>Lakh kWH</t>
  </si>
  <si>
    <t xml:space="preserve">Weighted Heat Rate </t>
  </si>
  <si>
    <t xml:space="preserve">Weighted Average Heat Rate </t>
  </si>
  <si>
    <t>Q</t>
  </si>
  <si>
    <t>Energy Saving and Investment</t>
  </si>
  <si>
    <t>R</t>
  </si>
  <si>
    <t>Please provide the Thermal Energy savings in Million kcal</t>
  </si>
  <si>
    <t>Please provide the Electrical Energy savings in Million kcal</t>
  </si>
  <si>
    <t>Coal</t>
  </si>
  <si>
    <t>Lignite</t>
  </si>
  <si>
    <t>Petro Coke</t>
  </si>
  <si>
    <t>Solid Fuel</t>
  </si>
  <si>
    <t>Biomass/Waste</t>
  </si>
  <si>
    <t>Liquid Fuel (FO/HSD/LDO/LSHS/HSHS)</t>
  </si>
  <si>
    <t>a.1</t>
  </si>
  <si>
    <t>a.2</t>
  </si>
  <si>
    <t>a.3</t>
  </si>
  <si>
    <t>a.4</t>
  </si>
  <si>
    <t>Kiln-1 Hot to Hot start (Internal &amp; External)</t>
  </si>
  <si>
    <t>Kiln-2 Hot to Hot start (Internal &amp; External)</t>
  </si>
  <si>
    <t>Kiln-3 Hot to Hot start (Internal &amp; External)</t>
  </si>
  <si>
    <t>Kiln-4 Hot to Hot start (Internal &amp; External)</t>
  </si>
  <si>
    <t>Kiln-5 Hot to Hot start (Internal &amp; External)</t>
  </si>
  <si>
    <t>(iv)x(ii)</t>
  </si>
  <si>
    <t>(vi)x(ii)</t>
  </si>
  <si>
    <t>(v)x(ii)</t>
  </si>
  <si>
    <t>STG 1</t>
  </si>
  <si>
    <t>STG2</t>
  </si>
  <si>
    <t>STG3</t>
  </si>
  <si>
    <t>C.2.2.4</t>
  </si>
  <si>
    <t>STG4</t>
  </si>
  <si>
    <t xml:space="preserve">STG </t>
  </si>
  <si>
    <t>C.2.2.5</t>
  </si>
  <si>
    <t>Average Running Load</t>
  </si>
  <si>
    <t>[Fuel Consumed (Lakh Tonne) X GCV of Fuel (Kcal/Kg)] X 100</t>
  </si>
  <si>
    <t>(11)/10000</t>
  </si>
  <si>
    <t>(13)/10000</t>
  </si>
  <si>
    <t>Form-Sb ( General Information)</t>
  </si>
  <si>
    <t>FORM-Sb (Details of Production and Energy Consumption)</t>
  </si>
  <si>
    <t xml:space="preserve">Form-Sb (Base Line Parameters For PAT Scheme) </t>
  </si>
  <si>
    <t>Form-Sb (Summary Sheet )</t>
  </si>
  <si>
    <t>INSTRUCTION FOR FILLING UP THE FORM-Sb &amp; KEEPING RECORDS AND INFORMATION FOR VERIFICATION PROCESS</t>
  </si>
  <si>
    <t>STG5</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</si>
  <si>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 Fuel, for Process Fuel 1 sample test in a quarter for Proximate Analysis)  3) Purchase Order, where guaranteed GCV range is mentioned</t>
  </si>
  <si>
    <t>One Sample per Quarter</t>
  </si>
  <si>
    <t>One sample per Year</t>
  </si>
  <si>
    <t>Total Plant Availlable Hours per year</t>
  </si>
  <si>
    <t>Plant Loading Factor (PLF)</t>
  </si>
  <si>
    <t>{C.2.2.1  (vii)-C.2.2.1(viii)}/C.2.2.1  (vii)</t>
  </si>
  <si>
    <t>C.2.2.1(x)/[C.2.2.1(ix)+C.2.2.1(x)</t>
  </si>
  <si>
    <t>C.2.2.6</t>
  </si>
  <si>
    <t xml:space="preserve">Total Plant Availlable Hours per year </t>
  </si>
  <si>
    <t>Notified Specific Energy Consumption</t>
  </si>
  <si>
    <t>Target Specific Energy Consumption</t>
  </si>
  <si>
    <t>(xvii)</t>
  </si>
  <si>
    <t>(xviii)</t>
  </si>
  <si>
    <t xml:space="preserve">Note: </t>
  </si>
  <si>
    <t>For Additional Kiln data, DC neeed yto submit the information in separte excel sheet as per above format</t>
  </si>
  <si>
    <t>Form-1</t>
  </si>
  <si>
    <t xml:space="preserve">A. </t>
  </si>
  <si>
    <t>General Details</t>
  </si>
  <si>
    <t xml:space="preserve">Sector and Sub-Sector in which the Designated Consumer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</si>
  <si>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</si>
  <si>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</si>
  <si>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</si>
  <si>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</si>
  <si>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</si>
  <si>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</si>
  <si>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</si>
  <si>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</si>
  <si>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</si>
  <si>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</si>
  <si>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Product (Please add extra rows in case of additional products)</t>
  </si>
  <si>
    <t>Total Equivalent Product</t>
  </si>
  <si>
    <t>Energy Consumption Details of Manufacturing Industries notified as Designated Consumers</t>
  </si>
  <si>
    <t>6. (i)</t>
  </si>
  <si>
    <t>Total Electricity Purchased from Grid/Other Source</t>
  </si>
  <si>
    <t>Million kwh</t>
  </si>
  <si>
    <t>Total Electricity Generated</t>
  </si>
  <si>
    <t xml:space="preserve">Total  Electricity Exported </t>
  </si>
  <si>
    <t>Total Electrical Energy Consumption</t>
  </si>
  <si>
    <t xml:space="preserve">Total Solid Fuel Consumption </t>
  </si>
  <si>
    <t>Total Liquid Fuel Consumption</t>
  </si>
  <si>
    <t>Total Gaseous Fuel Consumption</t>
  </si>
  <si>
    <t>Total Normalized Energy Consumption (Thermal + Electrical)</t>
  </si>
  <si>
    <t>TOE</t>
  </si>
  <si>
    <t>Specific Energy Consumption Details</t>
  </si>
  <si>
    <t>7. i</t>
  </si>
  <si>
    <t>Specific Energy Consumption(Without Normalization)</t>
  </si>
  <si>
    <t>TOE/Tonne</t>
  </si>
  <si>
    <t>ii</t>
  </si>
  <si>
    <t>Specific Energy Consumption (Normalized)</t>
  </si>
  <si>
    <t>Power Plants notified as Designated Consumer</t>
  </si>
  <si>
    <t>8. i.</t>
  </si>
  <si>
    <t>Total Capacity</t>
  </si>
  <si>
    <t>Unit Configuration</t>
  </si>
  <si>
    <t>No. of units with their capacity</t>
  </si>
  <si>
    <t>iii</t>
  </si>
  <si>
    <t xml:space="preserve">Annual Gross Generation </t>
  </si>
  <si>
    <t>MU</t>
  </si>
  <si>
    <t>iv</t>
  </si>
  <si>
    <t xml:space="preserve">Annual Plant Load Factor (PLF) </t>
  </si>
  <si>
    <t>v</t>
  </si>
  <si>
    <t>Station Gross Design Heat Rate</t>
  </si>
  <si>
    <t>vi</t>
  </si>
  <si>
    <t>Station Gross Operative Heat Rate</t>
  </si>
  <si>
    <t>vii</t>
  </si>
  <si>
    <t>viii</t>
  </si>
  <si>
    <t>Operative Net Heat Rate</t>
  </si>
  <si>
    <t>ix</t>
  </si>
  <si>
    <t>Operative Net Heat Rate (Normalized)</t>
  </si>
  <si>
    <t>Sector-Wise Details</t>
  </si>
  <si>
    <t>S.No</t>
  </si>
  <si>
    <t>Name of the Sector</t>
  </si>
  <si>
    <t>Form in which the details to be furnished</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</si>
  <si>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</si>
  <si>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</si>
  <si>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</si>
  <si>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</si>
  <si>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</si>
  <si>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Cement</t>
  </si>
  <si>
    <t>Sb</t>
  </si>
  <si>
    <t>Chlor-Alkali</t>
  </si>
  <si>
    <t>Sc</t>
  </si>
  <si>
    <t>Fertilizer</t>
  </si>
  <si>
    <t>Sd</t>
  </si>
  <si>
    <t>Iron and Steel</t>
  </si>
  <si>
    <t>Integrated Steel</t>
  </si>
  <si>
    <r>
      <t>Se</t>
    </r>
    <r>
      <rPr>
        <vertAlign val="subscript"/>
        <sz val="11"/>
        <color indexed="8"/>
        <rFont val="Arial"/>
        <family val="2"/>
      </rPr>
      <t>1</t>
    </r>
  </si>
  <si>
    <t>Sponge Iron</t>
  </si>
  <si>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</si>
  <si>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</si>
  <si>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</si>
  <si>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</si>
  <si>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</si>
  <si>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</si>
  <si>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</si>
  <si>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</si>
  <si>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</si>
  <si>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</si>
  <si>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</si>
  <si>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</si>
  <si>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</si>
  <si>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</si>
  <si>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Product 1:OPC Production</t>
  </si>
  <si>
    <t>Product 2: PPC Production</t>
  </si>
  <si>
    <t>Product 3: PSC/Others Production</t>
  </si>
  <si>
    <t>Previous Year</t>
  </si>
  <si>
    <t>Current Year</t>
  </si>
  <si>
    <t>SEC of kiln= Total Thermal Energy consumed kiln/Clinker Production, in kcal/kg of Clinker</t>
  </si>
  <si>
    <t>Form1-Sb!C2.2.6.(xiii)</t>
  </si>
  <si>
    <t>Form1-Sb!C2.2.6.(xii)</t>
  </si>
  <si>
    <t>Form1-Sb!H.2</t>
  </si>
  <si>
    <t>Form1-Sb!C2.2.6.(iii)</t>
  </si>
  <si>
    <t>0.0016 x(1)^2-0.3815 x (1)  +21.959</t>
  </si>
  <si>
    <t>(5) X (6) /100</t>
  </si>
  <si>
    <t>(2) X [1-(7)/100]</t>
  </si>
  <si>
    <t>% Difference in Heat Rate between AY and BY at PLF</t>
  </si>
  <si>
    <t>% Increase in Heat rate at PLF</t>
  </si>
  <si>
    <t>% Increase in heat rate in AY [(4) AY]- % Increase in heat rate in BY [(4) BY]</t>
  </si>
  <si>
    <t>Plant Loading Factor (PLF) of CPP as per PAF (Plant Avaialability Factor)</t>
  </si>
  <si>
    <t xml:space="preserve">% Decrease in loading (PLF) due to external factor </t>
  </si>
  <si>
    <t>% Decrease on % increase in Heat Rate  from baseline due to external factor</t>
  </si>
  <si>
    <t>C.1.1.(xii)-C.1.1.(xiii)</t>
  </si>
  <si>
    <t>C.2.2.1 (iii)/VC.2.2.1 (vi)</t>
  </si>
  <si>
    <t>C.2.2.2 (iii)/VC.2.2.2 (vi)</t>
  </si>
  <si>
    <t>{C.2.2.2  (vii)-C.2.2.2(viii)}/C.2.2.2  (vii)</t>
  </si>
  <si>
    <t>C.2.2.2(x)/[C.2.2.2(ix)+C.2.2.2(x)</t>
  </si>
  <si>
    <t>C.2.2.3 (iii)/VC.2.2.3 (vi)</t>
  </si>
  <si>
    <t>{C.2.2.3  (vii)-C.2.2.3(viii)}/C.2.2.3  (vii)</t>
  </si>
  <si>
    <t>C.2.2.3(x)/[C.2.2.3(ix)+C.2.2.3(x)</t>
  </si>
  <si>
    <t>C.2.2.4 (iii)/VC.2.2.4(vi)</t>
  </si>
  <si>
    <t>{C.2.2.4 (vii)-C.2.2.4(viii)}/C.2.2.4 (vii)</t>
  </si>
  <si>
    <t>C.2.2.4(x)/[C.2.2.4(ix)+C.2.2.4(x)</t>
  </si>
  <si>
    <t>C.2.2.5 (iii)/VC.2.2.5(vi)</t>
  </si>
  <si>
    <t>{C.2.2.5 (vii)-C.2.2.5(viii)}/C.2.2.5 (vii)</t>
  </si>
  <si>
    <t>C.2.2.5(x)/[C.2.2.5(ix)+C.2.2.5(x)</t>
  </si>
  <si>
    <t>C.2.2.6 (iii)/VC.2.2.6(vi)</t>
  </si>
  <si>
    <t>Weighted Average of PAF w.r.t. Gross Generation</t>
  </si>
  <si>
    <t>Weighted Average of PLF w.r.t. Gross Generation</t>
  </si>
  <si>
    <t>C.2.2.6(x)/[C.2.2.6(ix)+C.2.2.6(x)</t>
  </si>
  <si>
    <t>Annual Gross Unit Generation</t>
  </si>
  <si>
    <t>C.4+[If C.5 &gt; C.1(xvi) then (C.5-C.1(xvi))] otherwsie 0</t>
  </si>
  <si>
    <t>if C.5 &gt; C.1.(xvi), C.3-C.4-C.5-C.1.(xvi) otherwise C.1 (xvii) +C.3 -C.4</t>
  </si>
  <si>
    <t>(vi)+(vii)</t>
  </si>
  <si>
    <t>(iii)x(vii)/1000</t>
  </si>
  <si>
    <t>D.1.(x)+D.2.(x)+D.3.(x)+D.4.(x)+D.5.(x)+D.6.(x)+D.7.(x)+D.8.(x)</t>
  </si>
  <si>
    <t>D.1.(ix)+D.2.(ix)+D.3.(ix)+D.4.(ix)+D.5.(ix)+D.6.(ix)++D.7.(ix)+D.8.(ix)+D.9.(viii)++D.10.(viii) otherwise D.9 (viii) and D.10 (viii) are not considered</t>
  </si>
  <si>
    <t>Quantity used for Internal material handling / Transportation (Raw material handling , Loco, etc)</t>
  </si>
  <si>
    <t>Quantity used for Internal Transportation, if any</t>
  </si>
  <si>
    <t>Quantity used for Internal transportation, if any</t>
  </si>
  <si>
    <t>Thermal Energy Used in Internal Transportation (Internal Raw Material handling,Loco etc)</t>
  </si>
  <si>
    <t>[((vii))x(iv)]x(ii)/1000</t>
  </si>
  <si>
    <t>F.1.(ix)+F.2.(viii) +F.1 (ix)</t>
  </si>
  <si>
    <t>E.1.(ix)+E.2.(viii)+E.3.(viii)+E.4.(x)+E.5.(x)+E.6.(ix) otherwise E.6 (v)  not considered</t>
  </si>
  <si>
    <t>E.1.(x)+E.2.(ix)+E.3.(ix)+E.4.(xii)+E.5.(xii)+E.6.(x) otherwsie E.6. (x)</t>
  </si>
  <si>
    <t>E.1.(xi)+E.2.(x)+E.3.(x)+E.4.(xi)+E.5.(xi)+E.4.(xiii)+E.5.(xiii)</t>
  </si>
  <si>
    <t>[E.5 (x)+E.4 (x)+ E.3 (viii)+ E.2 (viii)+ E.1 (ix)+E.6 (ix)]x10/C.2.1.(ii)</t>
  </si>
  <si>
    <t>[(E.1.(x)+E.2.(ix)+E.3.(ix)+E.4.(xii)+E.5.(xii)+E.6.(x))+(D.1.(ix)+D.2.(ix)+D.3.(ix)+D.4.(ix)+D.5.(ix)+D.6.(ix)++D.7.(ix)+D.8.(ix)+D.9.(viii)++D.10.(viii))]x 10/C.2.2.(ii)</t>
  </si>
  <si>
    <t>C.1 (i)+ C.1(ii)+ C.1(iii)</t>
  </si>
  <si>
    <t>if(C.1 (xvi)&gt; C.5 then C.1 (xvi)-C.5 otherwise 0</t>
  </si>
  <si>
    <t>Form I-Sb!H4</t>
  </si>
  <si>
    <t>Form I-Sb!D9.(ii)</t>
  </si>
  <si>
    <t>Form I-Sb!D10.(ii)</t>
  </si>
  <si>
    <t>Form I-Sb!E6.(ii)</t>
  </si>
  <si>
    <t>Form I-Sb!C1.(viii) AY</t>
  </si>
  <si>
    <t>Form I-Sb!C1.(ix) AY</t>
  </si>
  <si>
    <t>Summary Sheet!(13)</t>
  </si>
  <si>
    <t>Form I-Sb!C1.(xiv) AY</t>
  </si>
  <si>
    <t>Form I-Sb!C1.(xv) AY</t>
  </si>
  <si>
    <t>Form I-Sb!L1.(i) x (1)/10+Form1-Sb!L1.(ii)</t>
  </si>
  <si>
    <t>Form I-Sb!L2.(i) x (2)/1000</t>
  </si>
  <si>
    <t>Form I-Sb!L2.(ii) x (2)/1000</t>
  </si>
  <si>
    <t>Form I-Sb!L2.(iii) x (2)/1000</t>
  </si>
  <si>
    <t>Form I-Sb!L3.(i) x (1)/10+Form1-Sb!L3.(ii)</t>
  </si>
  <si>
    <t>Form I-Sb!L4.(i) x (1)/10+Form1-Sb!L4.(ii)</t>
  </si>
  <si>
    <t>Form I-Sb!L4.(v) x (1)/10+Form1-Sb!L1.(vi)</t>
  </si>
  <si>
    <t>Form I-Sb!L5.(i) x (1)/10+Form1-Sb!L5.(ii)</t>
  </si>
  <si>
    <t>Form I-Sb!L4.(vii) x (1)/10</t>
  </si>
  <si>
    <t>(21) X (10) X1000/10^6</t>
  </si>
  <si>
    <t>(23)AY X (10)AY X 1000/10^6</t>
  </si>
  <si>
    <t>(23)AY- (21)BY</t>
  </si>
  <si>
    <t>(24)AY-(22)BY</t>
  </si>
  <si>
    <t>if[(5)AY=0, {(6)AY+(7)AY} X 2717 X 1000/10^6, otherwise {(6)AY+(7)AY} X (5)AY X 1000/10^6]</t>
  </si>
  <si>
    <t>If[(25)&lt;=0,0,Otherwise if{(27)&gt;(26),(26),otherwise(27)}]</t>
  </si>
  <si>
    <t>Summary Sheet!1.a</t>
  </si>
  <si>
    <t>Summary Sheet!1.b</t>
  </si>
  <si>
    <t>Summary Sheet!1.i</t>
  </si>
  <si>
    <t>Summary Sheet!1.j</t>
  </si>
  <si>
    <t>Summary Sheet!1.k</t>
  </si>
  <si>
    <t xml:space="preserve">Clinker used for OPC Production/OPC Produced </t>
  </si>
  <si>
    <t>Summary Sheet!8.f</t>
  </si>
  <si>
    <t>Summary Sheet!8.d</t>
  </si>
  <si>
    <t>Summary Sheet!9.a</t>
  </si>
  <si>
    <t>Summary Sheet!9.b</t>
  </si>
  <si>
    <t>Summary Sheet!9.c</t>
  </si>
  <si>
    <t>Form I-Sb!H.4</t>
  </si>
  <si>
    <t>(17)+(21)</t>
  </si>
  <si>
    <t>FormI-Sb!C.1.(vii)</t>
  </si>
  <si>
    <t>FormI-Sb!C.2.1.(iii)</t>
  </si>
  <si>
    <t>FormI-Sb!C.2.2.6.(iii)</t>
  </si>
  <si>
    <t>FormI-Sb!C.2.3.(ii)</t>
  </si>
  <si>
    <t>FormI-Sb!C.2.4.(ii)</t>
  </si>
  <si>
    <t>FormI-Sb!C.6</t>
  </si>
  <si>
    <t>FormI-Sb!C.8</t>
  </si>
  <si>
    <t>(1.a)</t>
  </si>
  <si>
    <t>(1.b)</t>
  </si>
  <si>
    <t>(1.d)-(2)</t>
  </si>
  <si>
    <t>(1.e)-(2)</t>
  </si>
  <si>
    <t>Base line Parameters!(I)</t>
  </si>
  <si>
    <t>FormI-Sb!H.1</t>
  </si>
  <si>
    <t>FormI-Sb!H.2</t>
  </si>
  <si>
    <t>FormI-Sb!H.3</t>
  </si>
  <si>
    <t>FormI-Sb!C.2.2.6.(iv)</t>
  </si>
  <si>
    <t>FormI-Sb!C.2.3.(iii)</t>
  </si>
  <si>
    <t>(3)-(3.e)</t>
  </si>
  <si>
    <t>FormI-Sb!A3</t>
  </si>
  <si>
    <t>FormI-Sb!I.1</t>
  </si>
  <si>
    <t>FormI-Sb!I.2</t>
  </si>
  <si>
    <t>FormI-Sb!H.4</t>
  </si>
  <si>
    <t>if (FormI-Sb!H.5=0 then 0, otherwise FormI-Sb!D.2(x) x 100/FormI-Sb!G.2</t>
  </si>
  <si>
    <t>(2)BY+0.0954 x [(5)AY-(5)BY]</t>
  </si>
  <si>
    <t>(3)BY+0.022 x [(5)AY-(5)BY]</t>
  </si>
  <si>
    <t>(9)AY x (1)AY/10</t>
  </si>
  <si>
    <t>FormI-Sb!K.1</t>
  </si>
  <si>
    <t>FormI-Sb!K.2</t>
  </si>
  <si>
    <t>FormI-Sb!K.3</t>
  </si>
  <si>
    <t>FormI-Sb!K.4</t>
  </si>
  <si>
    <t>(2)BY x [(7)BY/(7)AY]</t>
  </si>
  <si>
    <t>FormI-Sb!B(i).a …B(v).a</t>
  </si>
  <si>
    <t>FormI-Sb!B(i).d …B(v).d</t>
  </si>
  <si>
    <t>FormI-Sb!B(i).j …B(v).j</t>
  </si>
  <si>
    <t>FormI-Sb!B(i).k …B(v).k</t>
  </si>
  <si>
    <t>FormI-Sb!B(i).h …B(v).h</t>
  </si>
  <si>
    <t>(1)AYX(10)AY/1000</t>
  </si>
  <si>
    <t>Details of information regarding Total Energy Consumed and Specific Energy Consumption Per unit of Production (Rule3)</t>
  </si>
  <si>
    <t>(i) Year of Establishment</t>
  </si>
  <si>
    <t>Baseline Year (Average of year1 to Year 3)</t>
  </si>
  <si>
    <t>Current/Assessment /Target Year    (20__-20__)</t>
  </si>
  <si>
    <t>if(1.c&gt;1.b,1.d,1.e, then (1.c)-(2) otherwise (1.c)</t>
  </si>
  <si>
    <t>C.2.5</t>
  </si>
  <si>
    <t>Power from dedicated Line</t>
  </si>
  <si>
    <t>Power Wheeled throgh dedicated line</t>
  </si>
  <si>
    <t>Annual Wheeled Electricity</t>
  </si>
  <si>
    <t>Total Energy Consumed</t>
  </si>
  <si>
    <t>G.1+G.2+C.2.5.(iv)</t>
  </si>
  <si>
    <t>1.f</t>
  </si>
  <si>
    <t>Electricity from Dedicated Line</t>
  </si>
  <si>
    <t>3.f</t>
  </si>
  <si>
    <t>Electricity from Dedicated Line consumption</t>
  </si>
  <si>
    <t>Dedicated Line Heat Rate</t>
  </si>
  <si>
    <t xml:space="preserve">Heat Rate of wheeled Electricity from dedicated line </t>
  </si>
  <si>
    <t>(7)/[1-(11)/100]</t>
  </si>
  <si>
    <t>(8)/[1-(12)/100]</t>
  </si>
  <si>
    <t>(9)</t>
  </si>
  <si>
    <t>% share of Dedicated Line</t>
  </si>
  <si>
    <t>(3.f)*100/(4)</t>
  </si>
  <si>
    <t>[(5)AY*(16)BY+(6)AY*(17)BY+(7)AY*(18)BY+(8)AY*(19)BY]+(9)AY*(20)BY/100</t>
  </si>
  <si>
    <t>[(3.a)*(5)+(3.b)*(6)+(3.c)*(7)+(3.d)*(8)]+(3.f)*(9)/(4)</t>
  </si>
  <si>
    <t>[(4)AY]*[(21)AY-(22)AY]/10</t>
  </si>
  <si>
    <t>Location of sampling and Fuel consumption for AS FIRED Fuel analysis: After the Mill</t>
  </si>
  <si>
    <t xml:space="preserve">1) Operating Coal Quality- Monthly average of the lots (As Fired Basis),Test Certificate for Coal Analysis including Proximate and Ultimate analysis (Minimum of 1 Samples Test from Government Lab for cross verification quarterly) 2) Location of sampling and Fuel consumption for AS FIRED Fuel analysis: After the Mill
</t>
  </si>
  <si>
    <t>Biomass replacement with Fossil fuel due to Biomass un-availability (used in the process)</t>
  </si>
  <si>
    <t>Alternate Solid Fuel replacement with Fossil fuel due to Alternate Solid Fuel un-availability (used in the process)</t>
  </si>
  <si>
    <t>Alternate Liquid Fuel replacement with Fossil fuel due to Alternate Liquid Fuel un-availability (used in the process)</t>
  </si>
  <si>
    <t>As per Notification S.O.687 ( E)dated 31/03/2012</t>
  </si>
  <si>
    <t>As per Notification S.O.687 ( E)dated 31/03/2013</t>
  </si>
  <si>
    <t>Pleaase provide your Notified Specific Energy Consumption in TOE/T  for Baseline Year</t>
  </si>
  <si>
    <t>Pleaase provide your Target Specific Energy Consumption in TOE/T for Target year</t>
  </si>
  <si>
    <t>Formulae Protected Difference of Notifies SEC and Target SEC (Saving Target)</t>
  </si>
  <si>
    <t>Please fill Equivalent Major Product Output in tonnes as per PAT scheme Notification</t>
  </si>
  <si>
    <t xml:space="preserve">Formula protected ( Total electricty purchased from grid without Colony/Construction power Others) </t>
  </si>
  <si>
    <t>Selection is required from the drop down list for grid connectivity with grid (Yes/No)</t>
  </si>
  <si>
    <t>C.2.2.1/ C.2.2.5</t>
  </si>
  <si>
    <t>Formuale Protected: Average Running Load will be gross generation/Total running hours in  a year</t>
  </si>
  <si>
    <t>Formuale Protected: Weighted Calculation for STG 1-5</t>
  </si>
  <si>
    <t>Power from dedicated line</t>
  </si>
  <si>
    <t>Please provide Power wheeled through dedicated line in MW (average for the year )</t>
  </si>
  <si>
    <t>Hourly,daily,monthly</t>
  </si>
  <si>
    <t>1) Energy Meter reading for nos of hours, 2) Daily Powwer Report</t>
  </si>
  <si>
    <t>Energy Meter</t>
  </si>
  <si>
    <t>Please provide Heat Rate of wheeld imported Electricity in kcal/kWh</t>
  </si>
  <si>
    <t>daily, Monthly</t>
  </si>
  <si>
    <t xml:space="preserve">Formulae Protected: Energy input in Million kcal </t>
  </si>
  <si>
    <t>Please provide the electrical SEC of clinkerization (includes crushing (Inside Boundary), stacking, reclaiming and grinding of raw material, coal grinding, Pyro-processing and related utilities) in kWh/Ton of product and clinker.</t>
  </si>
  <si>
    <t>Formula protected ( Total HSD/LDO thermal energy used in Internal Transportation (Internal Raw Material handling,Loco etc))</t>
  </si>
  <si>
    <t>Formula protected ( Total NG thermal energy used in  Internal Transportation (Internal Raw Material handling,Loco etc)</t>
  </si>
  <si>
    <t>Weighted heat rate w.r.t. generation and power source</t>
  </si>
  <si>
    <t>Formula protected [Total thermal energy  of all input fuels ( Solid, Liquid and Gaseous) used in power generation and process heating] and Imported Energy through dedicated line</t>
  </si>
  <si>
    <t xml:space="preserve">Formula Protected: weighted average gross heat rate </t>
  </si>
  <si>
    <r>
      <t xml:space="preserve">Please provide the Electrical Energy Consumption with list of Project Activites and energy consumed during project activities treated as Construction phase in Lakh kwh </t>
    </r>
    <r>
      <rPr>
        <b/>
        <sz val="11"/>
        <color indexed="8"/>
        <rFont val="Calibri"/>
        <family val="2"/>
      </rPr>
      <t>(The Energy is not to be inlcuded in C.5) Ref: Sheet!Project Activity List</t>
    </r>
  </si>
  <si>
    <t xml:space="preserve">Please provide the Thermal Energy Consumption with list of additional Equipment installed due to Environmental Concern after baseline year in Sheet! Addl Eqp List-Env. </t>
  </si>
  <si>
    <r>
      <t xml:space="preserve">Please provide the Thermal Energy Consumption with list of Project Activites and energy consumed during project activities treated as Construction phase in Million kcal converted from different fuel </t>
    </r>
    <r>
      <rPr>
        <b/>
        <sz val="11"/>
        <color indexed="8"/>
        <rFont val="Calibri"/>
        <family val="2"/>
      </rPr>
      <t>Ref: Sheet!Project Activity List</t>
    </r>
  </si>
  <si>
    <t>Electricity Exported to Grid/Colony/Others from CPP</t>
  </si>
  <si>
    <t>C.2.2.1(iii) x 10^4/C.2.2.1(ii)*C.2.2.1  (vii)* C.2.2.1 (xii)</t>
  </si>
  <si>
    <t>C.2.2.2(iii) x 10^4/C.2.2.2(ii)*C.2.2.2 (vii)* C.2.2.2 (xii)</t>
  </si>
  <si>
    <t>C.2.2.3(iii) x 10^4/C.2.2.3(ii)*C.2.2.3 (vii)* C.2.2.3 (xii)</t>
  </si>
  <si>
    <t>C.2.2.4(iii) x 10^4/C.2.2.4(ii)*C.2.2.4 (vii)* C.2.2.4 (xii)</t>
  </si>
  <si>
    <t>C.2.2.5(iii) x 10^4/C.2.2.5(ii)*C.2.2.5 (vii)* C.2.2.5 (xii)</t>
  </si>
  <si>
    <t>Please provide in Rs Million the year wise Investment made towards Energy saving Projects</t>
  </si>
  <si>
    <t>1) Kiln Log sheet  2) DPR 3) MPR 4) Refer Sr. No: P 5) CCR Trends</t>
  </si>
  <si>
    <t>1) Log Sheet 2) CCR SCADA Report/ Trends 3) DPR 4) MPR 5) SAP Entry in PP/SD module 6) Excise record (ER1) 7) Annual Report</t>
  </si>
  <si>
    <t>1) field Inventory</t>
  </si>
  <si>
    <t>1)Silo Level 2) Feeding Weigh feeders 3) Belt Weigher 4) Solid flow meter</t>
  </si>
  <si>
    <t>1) Energy Meter Reading for Kiln Section 2) Kiln Log sheet   3) DPR 4) MPR 5) Refer Sr. No: P 6) CCR SCADA Trends</t>
  </si>
  <si>
    <t>1) Kiln Log sheet  2) Kiln Shift operator's Log Register 3) DPR 4) MPR 5) Refer Sr. No: P 6) CCR SADA Trends</t>
  </si>
  <si>
    <t>1) Kiln Log sheet  2) Kiln Shift operator's Log Register 3) DPR 4) MPR 5) Refer Sr. No: P 6) CCR Trends</t>
  </si>
  <si>
    <t>1) Energy Meter Reading for Kiln Section 2) Kiln Log sheet  3) DPR 4) MPR 5) Refer Sr. No: P 6) CCR Trends</t>
  </si>
  <si>
    <t>1) Kiln Log sheet  2) Kiln Shift operator's Log Register 3) DPR 4) MPR 5) Refer Sr. No: P  6) CCR Trends</t>
  </si>
  <si>
    <t>1) DGR 2) MGR 3)  CPP Log Sheet 4) SAP Entry in MM/PP/FI module 5) Annual Report</t>
  </si>
  <si>
    <t>1) Notification S.O.687 ( E)dated 31/03/2012</t>
  </si>
  <si>
    <t>1) Notification S.O.687 ( E)dated 31/03/2013</t>
  </si>
  <si>
    <t>Electricity from Grid / Other (Including Colony and Others) / Renewable Purchase obligation/Notified Figures</t>
  </si>
  <si>
    <t>1) Daily Generation Report 2) Monthly Generation Report 3) WHR main energy meter reading record 4) Energy Management System data</t>
  </si>
  <si>
    <t>1) CPP Log Sheet 2) Operaters log Register 3) Daily generation Report 4) Monthly Generation Report 5)  Energy Management System data 6)Refer Sr. No: N</t>
  </si>
  <si>
    <t>Pleaase provide Electricity wheeled in a year in lakh kWh</t>
  </si>
  <si>
    <t>1) Daily Power Report 2) Monthly Power Report 3) CPP main energy meter reading record 4) Energy Management System data</t>
  </si>
  <si>
    <t>1) Daily Generation Report 2) Monthly Generation  Report 3)  Energy Management System data</t>
  </si>
  <si>
    <t>1) Test report from Supplier 2) Internal Test Report from lab 3) Test report from Government Accredited Lab 4) Standard Value as per Notification</t>
  </si>
  <si>
    <t>1) Test report from Supplier 2) Test report from Government Accredited Lab 3) Standard Value as per Notification</t>
  </si>
  <si>
    <t>1) Daily Power Report 2) Monthly Power Report 3) Export main energy meter reading record 4) Energy Management System data 5) Monthly Export bill receipt sent  to utility</t>
  </si>
  <si>
    <t>Please provide the annual furnace oil quantity purchase in kilo Litres.</t>
  </si>
  <si>
    <t>Please provide the furnace oil quantity consumed in DG set for power generation in kilo Litres.</t>
  </si>
  <si>
    <t>Please provide the furnace oil quantity consumed in CPP for power generation in kilo Litres.</t>
  </si>
  <si>
    <t>Please provide the furnace oil quantity used in process heating (including Pyro-processing and cement mill Hot Air Generator) in kilo Litres.</t>
  </si>
  <si>
    <t>Please provide the annual HSD/LDO quantity purchase in kilo Litres.</t>
  </si>
  <si>
    <t>Please provide the HSD/LDO quantity used in DG set for power generation in kilo Litres.</t>
  </si>
  <si>
    <t>Please provide the HSD/LDO quantity used in CPP for power generation in kilo Litres.</t>
  </si>
  <si>
    <t>Please provide the HSD/LDO quantity used in Transportation, if any  in kilo Litres.</t>
  </si>
  <si>
    <t>Please provide the HSD/LDO quantity used in process heating  in kilo Litres.</t>
  </si>
  <si>
    <t>Please provide the annual liquid waste quantity purchase in kilo Litres.</t>
  </si>
  <si>
    <t>Please provide the liquid waste quantity consumed in DG set for power generation in kilo Litres.</t>
  </si>
  <si>
    <t>Please provide the liquid waste quantity consumed in CPP for power generation in kilo Litres.</t>
  </si>
  <si>
    <t>Please provide the liquid waste quantity consumed in process heating  in kilo Litres.</t>
  </si>
  <si>
    <t>(10d)/{(8f)*100} for Clinkerization Units (10d)/{(1a)*100}</t>
  </si>
  <si>
    <t>(12f)/{(8f)*100} for Clinkerization Units (12f)/{(1a)*100}</t>
  </si>
  <si>
    <t>Kiln Start/Stop</t>
  </si>
  <si>
    <t>1) Undertaking from Competent Authority 2) Document of Synchronisation from DSCOM</t>
  </si>
  <si>
    <t>Formula protected (Total liquid waste used in DG, CPP and process heating multiplied by the density)</t>
  </si>
  <si>
    <t>Please fill the data as per colour coding provided  at the bottom of Form Sb</t>
  </si>
  <si>
    <t>(ii) Registration No (As provided by BEE)</t>
  </si>
  <si>
    <t>Signature:-</t>
  </si>
  <si>
    <t xml:space="preserve">Name of Energy Manager: </t>
  </si>
  <si>
    <t>Registration Number:</t>
  </si>
  <si>
    <t>Full Address:-</t>
  </si>
  <si>
    <t>Seal</t>
  </si>
  <si>
    <t>PPC</t>
  </si>
  <si>
    <t>1) Lab Register on Fuel Testing for Proximate Analysis 2) Callibration Record of instrument used for testing  3) Lab register 4) Lab analysis prcedure documents 5) Sampling methodology document</t>
  </si>
  <si>
    <t xml:space="preserve">1) Power Purchase Agreement 2) DGR of Sister concered from where the power is wheeled 3) Heat Rate calculation of wheeled power 4) Annual report of CPP </t>
  </si>
  <si>
    <t>1) Separate Energy Meter Reading 2) Daily and Monthly Power Report 3) Transmission Line details document 4) Permission document from SEBs</t>
  </si>
  <si>
    <t xml:space="preserve">1) Primary document from the sister concern 2) Excise document of purchased electricty 3) Energy Meter reading 4) EnergyManagement System </t>
  </si>
  <si>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</si>
  <si>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Item</t>
  </si>
  <si>
    <t xml:space="preserve">Previous Year </t>
  </si>
  <si>
    <t xml:space="preserve">Current Year </t>
  </si>
  <si>
    <t>(1)</t>
  </si>
  <si>
    <t>(2)</t>
  </si>
  <si>
    <t>(3)</t>
  </si>
  <si>
    <t>NA</t>
  </si>
  <si>
    <t>Please provide annual available hours of respecitive unit. Ex. If a unit commissions on 1st Oct, then avaialble hour fro the year will be 4380 hours</t>
  </si>
  <si>
    <t>Sum of three years 2012-15 for Assessment year data entry</t>
  </si>
  <si>
    <t>Signature of Energy Manager</t>
  </si>
  <si>
    <t xml:space="preserve">Name </t>
  </si>
  <si>
    <t>Year 3 /Previous Year (20.... 20...)</t>
  </si>
  <si>
    <t>It is mandatary to fill all the fields of Excel Sheets- General Information, Form Sb, Annex Addl Eqp List-Env, Annex Project Activities List</t>
  </si>
  <si>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</si>
  <si>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</si>
  <si>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</si>
  <si>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</si>
  <si>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 xml:space="preserve">Kiln-5 Cold to Hot start due to internal factors </t>
  </si>
  <si>
    <t>No</t>
  </si>
  <si>
    <t>If selected "No" then an Undertaking from competent authority shall be provided</t>
  </si>
  <si>
    <t>(2014-2015)</t>
  </si>
  <si>
    <t>Normalization Factor for Bond Index (Limestone)</t>
  </si>
  <si>
    <t>Baseline Year [BY]</t>
  </si>
  <si>
    <t>Current Year (AY)</t>
  </si>
  <si>
    <t>MTPA</t>
  </si>
  <si>
    <t>Bond index of Limestone</t>
  </si>
  <si>
    <t>Change in Electrical energy consumption (For Limestone grinding)</t>
  </si>
  <si>
    <t xml:space="preserve">y = (0.8426 X + .0344) where y is % change in  motor power kW, x is % change in Bond Index
Change in electrical power consumption = y X operating motor kW (AY)
</t>
  </si>
  <si>
    <t>kwh/t</t>
  </si>
  <si>
    <t>Energy to be subtracted w.r.t. Bond index of lime stone</t>
  </si>
  <si>
    <t>[5] x [2] (AY)</t>
  </si>
  <si>
    <t>kWh/t material</t>
  </si>
  <si>
    <t>(i)m</t>
  </si>
  <si>
    <t>(i)n</t>
  </si>
  <si>
    <t>(ii)m</t>
  </si>
  <si>
    <t>Raw Mill-2 Production</t>
  </si>
  <si>
    <t>Raw Mill-1 Production</t>
  </si>
  <si>
    <t>(ii)n</t>
  </si>
  <si>
    <t>(iii)m</t>
  </si>
  <si>
    <t>(iii)n</t>
  </si>
  <si>
    <t>Raw Mill-3 Production</t>
  </si>
  <si>
    <t>Raw Mill-4 Production</t>
  </si>
  <si>
    <t>(iv)m</t>
  </si>
  <si>
    <t>(iv)n</t>
  </si>
  <si>
    <t>(v)m</t>
  </si>
  <si>
    <t>(v)n</t>
  </si>
  <si>
    <t>Raw Mill-5 Production</t>
  </si>
  <si>
    <t>Notional Energy for Bond Index</t>
  </si>
  <si>
    <t>NF-8 Bond Index</t>
  </si>
  <si>
    <t>Operating Raw Mill Motor SEC</t>
  </si>
  <si>
    <t>Bond Index-Document Available for Normailisation</t>
  </si>
  <si>
    <t>Raw Mill-1 Operating Electrical SEC (Main Motor)</t>
  </si>
  <si>
    <t>Raw Mill-2 Operating Electrical SEC (Main Motor)</t>
  </si>
  <si>
    <t>Raw Mill-3 Operating Electrical SEC (Main Motor)</t>
  </si>
  <si>
    <t>Raw Mill-4 Operating Electrical SEC (Main Motor)</t>
  </si>
  <si>
    <t>Raw Mill-5 Operating Electrical SEC (Main Motor)</t>
  </si>
  <si>
    <t>Raw Mill Production</t>
  </si>
  <si>
    <t>A23</t>
  </si>
  <si>
    <t>Composite Cement Production</t>
  </si>
  <si>
    <t>A24</t>
  </si>
  <si>
    <t>Clinker Factor for Composite Cement</t>
  </si>
  <si>
    <t>C4</t>
  </si>
  <si>
    <t>Composite Cement Production/Others</t>
  </si>
  <si>
    <t xml:space="preserve">Solar Installed Capacity </t>
  </si>
  <si>
    <t>Through Solar Power Plant</t>
  </si>
  <si>
    <t>C.2.6</t>
  </si>
  <si>
    <t>C2.6 (ii) x C.2.6 (iii)/10</t>
  </si>
  <si>
    <t>C.2.1.(iii)+C.2.26.(iii)+C.2.3.(ii)+C.2.4.(ii)+C.2.5.(ii)</t>
  </si>
  <si>
    <t>Waste Generation From CPP( AFBC/CFBC Boiler)</t>
  </si>
  <si>
    <t>Quantity generated from power plant</t>
  </si>
  <si>
    <t>Thermal Energy from Waste in Power Plant</t>
  </si>
  <si>
    <t>(ii)x(iv)/1000</t>
  </si>
  <si>
    <t>D.13</t>
  </si>
  <si>
    <t>(2018-2019)</t>
  </si>
  <si>
    <t>q</t>
  </si>
  <si>
    <t>Production of PSC</t>
  </si>
  <si>
    <t>    Clinker to PSC</t>
  </si>
  <si>
    <t>Clinker used for Composite Cement Production/Composite Cement Produced</t>
  </si>
  <si>
    <t>Clinker Factor for Composite Cement/Other variety of cement</t>
  </si>
  <si>
    <t xml:space="preserve">    Clinker to Composite Cement/Other variety of  Cement</t>
  </si>
  <si>
    <t xml:space="preserve">Composite Cement/any other variety Cement Production equivalent to major product </t>
  </si>
  <si>
    <t>(Composite Cement Produced X CF Of Composite Cement)/CF of Major Product</t>
  </si>
  <si>
    <t>(8a)+(8b)+(8c)+(8d)+(8e)</t>
  </si>
  <si>
    <t>Clinker to Composite Cement/any other variety of cement</t>
  </si>
  <si>
    <t>Weighted CF of PPC , PSC and Composite Cement</t>
  </si>
  <si>
    <t>Additional Clinker produced due to change in production and additive (Composite Cement)</t>
  </si>
  <si>
    <t>(18)+(19)+(20)</t>
  </si>
  <si>
    <t>Additional Clinker producted due to change  production and additive(PPC, PSC and Composite Cement)</t>
  </si>
  <si>
    <t>[(4)*(8)+(5)*(9)+(6)*(10)] / [(4)+(5)+(6)]</t>
  </si>
  <si>
    <t>[(11)-(12)-(2)]*(15)*(16)/10</t>
  </si>
  <si>
    <t>(18)BY-(18)AY</t>
  </si>
  <si>
    <t>If (4)BY=0, then (4)AY*{(7)AY-(8)AY} otherwise [{(7)AY-(8)Ay}-{(7)BY-(8)BY}]</t>
  </si>
  <si>
    <t>If (5)BY=0, then (5)AY*{(7)AY-(9)AY} otherwise [{(7)AY-(9)AY}-{(7)BY-(89BY}]</t>
  </si>
  <si>
    <t>If (6)BY=0, then (6)AY*{(7)AY-(10)AY} otherwise [{(7)AY-(10)AY}-{(7)BY-(10)BY}]</t>
  </si>
  <si>
    <t>(23)*[(13)AY*1000+(14)AY*(16)AY]/10</t>
  </si>
  <si>
    <t xml:space="preserve"> [Total Thermal Energy  (Million kcal)+{(Total Electricity purchased from grid (Lakh kWh) X 860)-Electricity exported (Lakh kWh) X National Heat Rate- Steam Turbime Net heat rate kcal/kWh}/10]</t>
  </si>
  <si>
    <t xml:space="preserve">Place:- </t>
  </si>
  <si>
    <t xml:space="preserve">Date:- </t>
  </si>
</sst>
</file>

<file path=xl/styles.xml><?xml version="1.0" encoding="utf-8"?>
<styleSheet xmlns="http://schemas.openxmlformats.org/spreadsheetml/2006/main">
  <numFmts count="56">
    <numFmt numFmtId="5" formatCode="&quot;रु&quot;\ #,##0;&quot;रु&quot;\ \-#,##0"/>
    <numFmt numFmtId="6" formatCode="&quot;रु&quot;\ #,##0;[Red]&quot;रु&quot;\ \-#,##0"/>
    <numFmt numFmtId="7" formatCode="&quot;रु&quot;\ #,##0.00;&quot;रु&quot;\ \-#,##0.00"/>
    <numFmt numFmtId="8" formatCode="&quot;रु&quot;\ #,##0.00;[Red]&quot;रु&quot;\ \-#,##0.00"/>
    <numFmt numFmtId="42" formatCode="_ &quot;रु&quot;\ * #,##0_ ;_ &quot;रु&quot;\ * \-#,##0_ ;_ &quot;रु&quot;\ * &quot;-&quot;_ ;_ @_ "/>
    <numFmt numFmtId="41" formatCode="_ * #,##0_ ;_ * \-#,##0_ ;_ * &quot;-&quot;_ ;_ @_ "/>
    <numFmt numFmtId="44" formatCode="_ &quot;रु&quot;\ * #,##0.00_ ;_ &quot;रु&quot;\ * \-#,##0.00_ ;_ &quot;रु&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0.0"/>
    <numFmt numFmtId="185" formatCode="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0.0000000"/>
    <numFmt numFmtId="192" formatCode="0.000000"/>
    <numFmt numFmtId="193" formatCode="0.00000"/>
    <numFmt numFmtId="194" formatCode="0.00000000"/>
    <numFmt numFmtId="195" formatCode="0.0000E+00"/>
    <numFmt numFmtId="196" formatCode="0.000E+00"/>
    <numFmt numFmtId="197" formatCode="0.0E+00"/>
    <numFmt numFmtId="198" formatCode="0E+00"/>
    <numFmt numFmtId="199" formatCode="0.00000E+00"/>
    <numFmt numFmtId="200" formatCode="0.000000E+00"/>
    <numFmt numFmtId="201" formatCode="0.0000000E+00"/>
    <numFmt numFmtId="202" formatCode="0.00000000E+00"/>
    <numFmt numFmtId="203" formatCode="0.000000000E+00"/>
    <numFmt numFmtId="204" formatCode="0.0000000000E+00"/>
    <numFmt numFmtId="205" formatCode="0.00000000000E+00"/>
    <numFmt numFmtId="206" formatCode="0.000000000000E+00"/>
    <numFmt numFmtId="207" formatCode="0.0000000000000E+00"/>
    <numFmt numFmtId="208" formatCode="0.00000000000000E+00"/>
    <numFmt numFmtId="209" formatCode="0.000000000000000E+00"/>
    <numFmt numFmtId="210" formatCode="0.0000000000000000E+00"/>
    <numFmt numFmtId="211" formatCode="[$-439]dd\ mmmm\ yyyy"/>
  </numFmts>
  <fonts count="74">
    <font>
      <sz val="11"/>
      <color theme="1"/>
      <name val="Calibri"/>
      <family val="2"/>
    </font>
    <font>
      <sz val="11"/>
      <color indexed="8"/>
      <name val="Calibri"/>
      <family val="2"/>
    </font>
    <font>
      <sz val="8"/>
      <name val="Calibri"/>
      <family val="2"/>
    </font>
    <font>
      <sz val="9"/>
      <name val="Tahoma"/>
      <family val="2"/>
    </font>
    <font>
      <b/>
      <sz val="9"/>
      <name val="Tahoma"/>
      <family val="2"/>
    </font>
    <font>
      <b/>
      <sz val="11"/>
      <color indexed="8"/>
      <name val="Calibri"/>
      <family val="2"/>
    </font>
    <font>
      <b/>
      <sz val="11"/>
      <color indexed="8"/>
      <name val="Arial"/>
      <family val="2"/>
    </font>
    <font>
      <sz val="11"/>
      <color indexed="8"/>
      <name val="Arial"/>
      <family val="2"/>
    </font>
    <font>
      <vertAlign val="subscript"/>
      <sz val="11"/>
      <color indexed="8"/>
      <name val="Arial"/>
      <family val="2"/>
    </font>
    <font>
      <sz val="11"/>
      <name val="Calibri"/>
      <family val="2"/>
    </font>
    <font>
      <b/>
      <sz val="11"/>
      <name val="Calibri"/>
      <family val="2"/>
    </font>
    <font>
      <b/>
      <sz val="11"/>
      <color indexed="9"/>
      <name val="Calibri"/>
      <family val="2"/>
    </font>
    <font>
      <sz val="11"/>
      <color indexed="10"/>
      <name val="Calibri"/>
      <family val="2"/>
    </font>
    <font>
      <sz val="13"/>
      <color indexed="8"/>
      <name val="Calibri"/>
      <family val="2"/>
    </font>
    <font>
      <b/>
      <sz val="13"/>
      <color indexed="8"/>
      <name val="Calibri"/>
      <family val="2"/>
    </font>
    <font>
      <b/>
      <sz val="10"/>
      <color indexed="8"/>
      <name val="Calibri"/>
      <family val="2"/>
    </font>
    <font>
      <b/>
      <sz val="12"/>
      <color indexed="8"/>
      <name val="Calibri"/>
      <family val="2"/>
    </font>
    <font>
      <b/>
      <i/>
      <sz val="11"/>
      <color indexed="8"/>
      <name val="Calibri"/>
      <family val="2"/>
    </font>
    <font>
      <sz val="18"/>
      <color indexed="8"/>
      <name val="Calibri"/>
      <family val="2"/>
    </font>
    <font>
      <sz val="14"/>
      <color indexed="8"/>
      <name val="Calibri"/>
      <family val="2"/>
    </font>
    <font>
      <sz val="10"/>
      <color indexed="8"/>
      <name val="Calibri"/>
      <family val="2"/>
    </font>
    <font>
      <sz val="9"/>
      <color indexed="8"/>
      <name val="Calibri"/>
      <family val="2"/>
    </font>
    <font>
      <sz val="9"/>
      <name val="Calibri"/>
      <family val="2"/>
    </font>
    <font>
      <b/>
      <sz val="9"/>
      <color indexed="8"/>
      <name val="Calibri"/>
      <family val="2"/>
    </font>
    <font>
      <sz val="10"/>
      <name val="Calibri"/>
      <family val="2"/>
    </font>
    <font>
      <b/>
      <sz val="12"/>
      <color indexed="8"/>
      <name val="Cambria"/>
      <family val="1"/>
    </font>
    <font>
      <b/>
      <sz val="11"/>
      <color indexed="8"/>
      <name val="Cambria"/>
      <family val="1"/>
    </font>
    <font>
      <b/>
      <sz val="10"/>
      <color indexed="8"/>
      <name val="Cambria"/>
      <family val="1"/>
    </font>
    <font>
      <sz val="11"/>
      <color indexed="8"/>
      <name val="Cambria"/>
      <family val="1"/>
    </font>
    <font>
      <b/>
      <sz val="16"/>
      <color indexed="8"/>
      <name val="Calibri"/>
      <family val="2"/>
    </font>
    <font>
      <b/>
      <sz val="11"/>
      <color indexed="10"/>
      <name val="Calibri"/>
      <family val="2"/>
    </font>
    <font>
      <b/>
      <sz val="20"/>
      <color indexed="9"/>
      <name val="Calibri"/>
      <family val="2"/>
    </font>
    <font>
      <b/>
      <sz val="18"/>
      <color indexed="8"/>
      <name val="Calibri"/>
      <family val="2"/>
    </font>
    <font>
      <u val="single"/>
      <sz val="11"/>
      <color indexed="12"/>
      <name val="Calibri"/>
      <family val="2"/>
    </font>
    <font>
      <b/>
      <sz val="26"/>
      <color indexed="9"/>
      <name val="Calibri"/>
      <family val="2"/>
    </font>
    <font>
      <b/>
      <sz val="26"/>
      <color indexed="8"/>
      <name val="Calibri"/>
      <family val="2"/>
    </font>
    <font>
      <b/>
      <sz val="18"/>
      <name val="Calibri"/>
      <family val="2"/>
    </font>
    <font>
      <b/>
      <sz val="22"/>
      <color indexed="9"/>
      <name val="Calibri"/>
      <family val="2"/>
    </font>
    <font>
      <sz val="18"/>
      <color indexed="9"/>
      <name val="Calibri"/>
      <family val="2"/>
    </font>
    <font>
      <b/>
      <sz val="18"/>
      <color indexed="9"/>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55"/>
        <bgColor indexed="64"/>
      </patternFill>
    </fill>
    <fill>
      <patternFill patternType="solid">
        <fgColor indexed="30"/>
        <bgColor indexed="64"/>
      </patternFill>
    </fill>
    <fill>
      <patternFill patternType="solid">
        <fgColor theme="0" tint="-0.04997999966144562"/>
        <bgColor indexed="64"/>
      </patternFill>
    </fill>
    <fill>
      <patternFill patternType="solid">
        <fgColor theme="0"/>
        <bgColor indexed="64"/>
      </patternFill>
    </fill>
    <fill>
      <patternFill patternType="solid">
        <fgColor indexed="13"/>
        <bgColor indexed="64"/>
      </patternFill>
    </fill>
    <fill>
      <patternFill patternType="solid">
        <fgColor indexed="5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medium"/>
      <right/>
      <top style="medium"/>
      <bottom/>
    </border>
    <border>
      <left style="medium"/>
      <right style="medium"/>
      <top style="medium"/>
      <bottom/>
    </border>
    <border>
      <left style="thin"/>
      <right style="thin"/>
      <top/>
      <bottom style="thin"/>
    </border>
    <border>
      <left style="medium"/>
      <right style="medium"/>
      <top style="medium"/>
      <bottom style="medium"/>
    </border>
    <border>
      <left/>
      <right style="medium"/>
      <top/>
      <bottom/>
    </border>
    <border>
      <left style="medium"/>
      <right/>
      <top style="medium"/>
      <bottom style="medium"/>
    </border>
    <border>
      <left style="medium"/>
      <right style="thin"/>
      <top style="thin"/>
      <bottom style="thin"/>
    </border>
    <border>
      <left style="medium"/>
      <right/>
      <top style="thin"/>
      <bottom style="thin"/>
    </border>
    <border>
      <left style="medium"/>
      <right/>
      <top/>
      <bottom/>
    </border>
    <border>
      <left/>
      <right/>
      <top style="medium"/>
      <bottom/>
    </border>
    <border>
      <left/>
      <right style="medium"/>
      <top style="medium"/>
      <bottom/>
    </border>
    <border>
      <left style="thin"/>
      <right style="medium"/>
      <top style="thin"/>
      <bottom style="thin"/>
    </border>
    <border>
      <left style="medium"/>
      <right/>
      <top style="thin"/>
      <bottom/>
    </border>
    <border>
      <left style="medium"/>
      <right/>
      <top/>
      <bottom style="thin"/>
    </border>
    <border>
      <left style="medium"/>
      <right style="thin"/>
      <top/>
      <bottom style="thin"/>
    </border>
    <border>
      <left/>
      <right style="thin"/>
      <top style="thin"/>
      <bottom/>
    </border>
    <border>
      <left style="medium"/>
      <right style="thin"/>
      <top style="thin"/>
      <bottom style="medium"/>
    </border>
    <border>
      <left style="thin"/>
      <right style="thin"/>
      <top style="thin"/>
      <bottom style="medium"/>
    </border>
    <border>
      <left/>
      <right/>
      <top/>
      <bottom style="medium"/>
    </border>
    <border>
      <left/>
      <right style="medium"/>
      <top/>
      <bottom style="medium"/>
    </border>
    <border>
      <left/>
      <right/>
      <top style="medium"/>
      <bottom style="thin"/>
    </border>
    <border>
      <left/>
      <right style="medium"/>
      <top style="medium"/>
      <bottom style="thin"/>
    </border>
    <border>
      <left style="thin"/>
      <right style="medium"/>
      <top/>
      <bottom style="thin"/>
    </border>
    <border>
      <left style="medium"/>
      <right/>
      <top/>
      <bottom style="medium"/>
    </border>
    <border>
      <left/>
      <right/>
      <top style="thin"/>
      <bottom style="thin"/>
    </border>
    <border>
      <left style="thin"/>
      <right/>
      <top style="thin"/>
      <bottom style="thin"/>
    </border>
    <border>
      <left style="medium"/>
      <right style="medium"/>
      <top/>
      <bottom style="medium"/>
    </border>
    <border>
      <left style="thin"/>
      <right style="thin"/>
      <top/>
      <bottom/>
    </border>
    <border>
      <left style="medium"/>
      <right style="thin"/>
      <top style="thin"/>
      <bottom/>
    </border>
    <border>
      <left style="medium"/>
      <right style="thin"/>
      <top/>
      <bottom/>
    </border>
    <border>
      <left style="medium"/>
      <right style="medium"/>
      <top style="medium"/>
      <bottom style="thin"/>
    </border>
    <border>
      <left style="medium"/>
      <right style="medium"/>
      <top style="thin"/>
      <bottom style="thin"/>
    </border>
    <border>
      <left style="medium"/>
      <right/>
      <top style="thin"/>
      <bottom style="medium"/>
    </border>
    <border>
      <left style="thin"/>
      <right style="medium"/>
      <top style="thin"/>
      <bottom/>
    </border>
    <border>
      <left style="medium"/>
      <right style="medium"/>
      <top/>
      <bottom/>
    </border>
    <border>
      <left style="thin"/>
      <right style="medium"/>
      <top/>
      <bottom/>
    </border>
    <border>
      <left style="thin"/>
      <right style="medium"/>
      <top style="thin"/>
      <bottom style="medium"/>
    </border>
    <border>
      <left style="medium"/>
      <right/>
      <top style="medium"/>
      <bottom style="thin"/>
    </border>
    <border>
      <left/>
      <right/>
      <top/>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style="medium"/>
      <top style="thin"/>
      <bottom style="thin"/>
    </border>
    <border>
      <left/>
      <right style="thin"/>
      <top>
        <color indexed="63"/>
      </top>
      <bottom/>
    </border>
    <border>
      <left>
        <color indexed="63"/>
      </left>
      <right style="thin"/>
      <top style="thin"/>
      <bottom style="medium"/>
    </border>
    <border>
      <left/>
      <right/>
      <top style="medium"/>
      <bottom style="medium"/>
    </border>
    <border>
      <left/>
      <right style="medium"/>
      <top style="medium"/>
      <bottom style="medium"/>
    </border>
    <border>
      <left/>
      <right style="thin"/>
      <top style="medium"/>
      <bottom style="thin"/>
    </border>
    <border>
      <left/>
      <right style="thin"/>
      <top>
        <color indexed="63"/>
      </top>
      <bottom style="thin"/>
    </border>
    <border>
      <left style="thin"/>
      <right/>
      <top style="thin"/>
      <bottom/>
    </border>
  </borders>
  <cellStyleXfs count="8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114">
    <xf numFmtId="0" fontId="0" fillId="0" borderId="0" xfId="0" applyFont="1" applyAlignment="1">
      <alignment/>
    </xf>
    <xf numFmtId="0" fontId="0" fillId="0" borderId="0" xfId="0"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xf>
    <xf numFmtId="0" fontId="0" fillId="0" borderId="0" xfId="0" applyAlignment="1">
      <alignment vertical="top"/>
    </xf>
    <xf numFmtId="0" fontId="0" fillId="0" borderId="10" xfId="0" applyFont="1" applyBorder="1" applyAlignment="1">
      <alignment horizontal="center"/>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0" borderId="0" xfId="0" applyFont="1" applyAlignment="1">
      <alignment vertical="top" wrapText="1"/>
    </xf>
    <xf numFmtId="0" fontId="5" fillId="33" borderId="10" xfId="0" applyFont="1" applyFill="1" applyBorder="1" applyAlignment="1">
      <alignment horizontal="center" vertical="top"/>
    </xf>
    <xf numFmtId="0" fontId="5" fillId="33" borderId="10" xfId="0" applyFont="1" applyFill="1" applyBorder="1" applyAlignment="1">
      <alignment vertical="top"/>
    </xf>
    <xf numFmtId="0" fontId="5" fillId="0" borderId="0" xfId="0" applyFont="1" applyAlignment="1">
      <alignment vertical="top"/>
    </xf>
    <xf numFmtId="0" fontId="0" fillId="0" borderId="0" xfId="0" applyFont="1" applyAlignment="1">
      <alignmen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wrapText="1"/>
    </xf>
    <xf numFmtId="0" fontId="0" fillId="0" borderId="10" xfId="0" applyFont="1" applyBorder="1" applyAlignment="1">
      <alignment horizontal="left" vertical="center"/>
    </xf>
    <xf numFmtId="2"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34" borderId="11" xfId="0" applyFont="1" applyFill="1" applyBorder="1" applyAlignment="1" applyProtection="1">
      <alignment vertical="center" wrapText="1"/>
      <protection locked="0"/>
    </xf>
    <xf numFmtId="0" fontId="0" fillId="0" borderId="10" xfId="0" applyFont="1" applyBorder="1" applyAlignment="1">
      <alignment vertical="center"/>
    </xf>
    <xf numFmtId="186" fontId="0" fillId="0" borderId="10" xfId="0" applyNumberFormat="1" applyFont="1" applyBorder="1" applyAlignment="1">
      <alignment horizontal="center" vertical="center"/>
    </xf>
    <xf numFmtId="0" fontId="5" fillId="33" borderId="10" xfId="0" applyFont="1" applyFill="1" applyBorder="1" applyAlignment="1">
      <alignment horizontal="left" vertical="center" wrapText="1"/>
    </xf>
    <xf numFmtId="0" fontId="0" fillId="0" borderId="0" xfId="0" applyFont="1" applyAlignment="1">
      <alignment horizontal="center" vertical="center"/>
    </xf>
    <xf numFmtId="0" fontId="5" fillId="33" borderId="10" xfId="0" applyFont="1" applyFill="1" applyBorder="1" applyAlignment="1">
      <alignment vertical="center"/>
    </xf>
    <xf numFmtId="0" fontId="5" fillId="33" borderId="10" xfId="0" applyFont="1" applyFill="1" applyBorder="1" applyAlignment="1">
      <alignment vertical="center" wrapText="1"/>
    </xf>
    <xf numFmtId="0" fontId="0" fillId="34" borderId="10" xfId="0" applyFont="1" applyFill="1" applyBorder="1" applyAlignment="1" applyProtection="1">
      <alignment vertical="center" wrapText="1"/>
      <protection locked="0"/>
    </xf>
    <xf numFmtId="0" fontId="0" fillId="0" borderId="0" xfId="0" applyFont="1" applyAlignment="1">
      <alignment horizontal="center"/>
    </xf>
    <xf numFmtId="0" fontId="13" fillId="0" borderId="0" xfId="0" applyFont="1" applyAlignment="1">
      <alignment vertical="center"/>
    </xf>
    <xf numFmtId="0" fontId="5" fillId="0" borderId="10" xfId="0" applyFont="1" applyBorder="1" applyAlignment="1">
      <alignment horizontal="left" vertical="center"/>
    </xf>
    <xf numFmtId="0" fontId="14"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0"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wrapText="1"/>
      <protection locked="0"/>
    </xf>
    <xf numFmtId="2" fontId="0" fillId="0" borderId="10" xfId="0" applyNumberFormat="1" applyFont="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5" fillId="35" borderId="13" xfId="0" applyFont="1" applyFill="1" applyBorder="1" applyAlignment="1" applyProtection="1">
      <alignment vertical="center"/>
      <protection/>
    </xf>
    <xf numFmtId="2" fontId="5" fillId="35" borderId="13" xfId="0" applyNumberFormat="1"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34" borderId="11" xfId="0" applyFont="1" applyFill="1" applyBorder="1" applyAlignment="1" applyProtection="1">
      <alignment horizontal="left" vertical="center" wrapText="1"/>
      <protection locked="0"/>
    </xf>
    <xf numFmtId="0" fontId="0" fillId="34" borderId="10" xfId="0" applyFont="1" applyFill="1" applyBorder="1" applyAlignment="1" applyProtection="1">
      <alignment horizontal="left" vertical="center" wrapText="1"/>
      <protection locked="0"/>
    </xf>
    <xf numFmtId="0" fontId="0" fillId="0" borderId="15" xfId="0"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5" fillId="35" borderId="16" xfId="0" applyFont="1" applyFill="1" applyBorder="1" applyAlignment="1" applyProtection="1">
      <alignment horizontal="center" vertical="center"/>
      <protection/>
    </xf>
    <xf numFmtId="0" fontId="5" fillId="35" borderId="13"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locked="0"/>
    </xf>
    <xf numFmtId="0" fontId="5" fillId="35" borderId="13" xfId="0" applyFont="1" applyFill="1" applyBorder="1" applyAlignment="1" applyProtection="1">
      <alignment horizontal="center" vertical="center" wrapText="1"/>
      <protection/>
    </xf>
    <xf numFmtId="0" fontId="0" fillId="0" borderId="17" xfId="0" applyFont="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35" borderId="18" xfId="0" applyFont="1" applyFill="1" applyBorder="1" applyAlignment="1" applyProtection="1">
      <alignment horizontal="center" vertical="center"/>
      <protection/>
    </xf>
    <xf numFmtId="0" fontId="5" fillId="35" borderId="16" xfId="0" applyFont="1" applyFill="1" applyBorder="1" applyAlignment="1" applyProtection="1">
      <alignment vertical="center"/>
      <protection/>
    </xf>
    <xf numFmtId="2" fontId="0" fillId="0" borderId="10"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9" fillId="0" borderId="19"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21"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vertical="center"/>
      <protection locked="0"/>
    </xf>
    <xf numFmtId="0" fontId="0" fillId="0" borderId="0" xfId="0" applyFont="1" applyAlignment="1" applyProtection="1">
      <alignment horizontal="center" vertical="center"/>
      <protection/>
    </xf>
    <xf numFmtId="0" fontId="0" fillId="0" borderId="13" xfId="0" applyFont="1" applyBorder="1" applyAlignment="1" applyProtection="1">
      <alignment vertical="center"/>
      <protection/>
    </xf>
    <xf numFmtId="0" fontId="0" fillId="0" borderId="22" xfId="0" applyFont="1" applyBorder="1" applyAlignment="1" applyProtection="1">
      <alignment vertical="center" wrapText="1"/>
      <protection/>
    </xf>
    <xf numFmtId="0" fontId="0" fillId="0" borderId="22"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wrapText="1"/>
      <protection/>
    </xf>
    <xf numFmtId="0" fontId="0" fillId="34" borderId="12" xfId="0" applyFont="1" applyFill="1" applyBorder="1" applyAlignment="1" applyProtection="1">
      <alignment vertical="center"/>
      <protection/>
    </xf>
    <xf numFmtId="0" fontId="0" fillId="34" borderId="10" xfId="0" applyFont="1" applyFill="1" applyBorder="1" applyAlignment="1" applyProtection="1">
      <alignment vertical="center"/>
      <protection/>
    </xf>
    <xf numFmtId="0" fontId="0" fillId="0" borderId="0" xfId="0" applyFont="1" applyBorder="1" applyAlignment="1" applyProtection="1">
      <alignment vertical="center"/>
      <protection/>
    </xf>
    <xf numFmtId="0" fontId="5" fillId="34" borderId="2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17" xfId="0" applyFont="1" applyFill="1" applyBorder="1" applyAlignment="1" applyProtection="1">
      <alignment vertical="center"/>
      <protection/>
    </xf>
    <xf numFmtId="0" fontId="0" fillId="34" borderId="0" xfId="0" applyFont="1" applyFill="1" applyAlignment="1" applyProtection="1">
      <alignment vertical="center"/>
      <protection/>
    </xf>
    <xf numFmtId="0" fontId="1" fillId="0" borderId="20" xfId="0" applyFont="1" applyBorder="1" applyAlignment="1" applyProtection="1">
      <alignment horizontal="center" vertical="center"/>
      <protection/>
    </xf>
    <xf numFmtId="0" fontId="0" fillId="0" borderId="19"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wrapText="1"/>
      <protection/>
    </xf>
    <xf numFmtId="2" fontId="1"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0" fillId="0" borderId="19" xfId="0" applyFont="1" applyBorder="1" applyAlignment="1" applyProtection="1">
      <alignment vertical="center"/>
      <protection/>
    </xf>
    <xf numFmtId="2" fontId="5" fillId="34" borderId="12" xfId="0" applyNumberFormat="1"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0" borderId="19" xfId="0" applyFont="1" applyFill="1" applyBorder="1" applyAlignment="1" applyProtection="1">
      <alignment horizontal="left" vertical="center" wrapText="1" indent="1"/>
      <protection/>
    </xf>
    <xf numFmtId="0" fontId="0" fillId="0" borderId="10" xfId="0" applyFont="1" applyFill="1" applyBorder="1" applyAlignment="1" applyProtection="1">
      <alignment horizontal="left" vertical="center" wrapText="1" indent="1"/>
      <protection/>
    </xf>
    <xf numFmtId="0" fontId="0" fillId="0" borderId="10" xfId="0" applyFont="1" applyFill="1" applyBorder="1" applyAlignment="1" applyProtection="1">
      <alignment horizontal="center" vertical="center"/>
      <protection/>
    </xf>
    <xf numFmtId="0" fontId="0" fillId="0" borderId="10" xfId="0" applyFont="1" applyBorder="1" applyAlignment="1" applyProtection="1">
      <alignment horizontal="left" vertical="center" wrapText="1" indent="1"/>
      <protection/>
    </xf>
    <xf numFmtId="0" fontId="0" fillId="0" borderId="24" xfId="0" applyFont="1" applyFill="1" applyBorder="1" applyAlignment="1" applyProtection="1">
      <alignment horizontal="center" vertical="center" wrapText="1"/>
      <protection/>
    </xf>
    <xf numFmtId="0" fontId="17" fillId="34" borderId="20" xfId="0" applyFont="1" applyFill="1" applyBorder="1" applyAlignment="1" applyProtection="1">
      <alignment horizontal="center" vertical="center"/>
      <protection/>
    </xf>
    <xf numFmtId="0" fontId="17" fillId="34" borderId="19" xfId="0" applyFont="1" applyFill="1" applyBorder="1" applyAlignment="1" applyProtection="1">
      <alignment horizontal="left" vertical="center" wrapText="1" indent="1"/>
      <protection/>
    </xf>
    <xf numFmtId="0" fontId="17" fillId="34" borderId="10" xfId="0" applyFont="1" applyFill="1" applyBorder="1" applyAlignment="1" applyProtection="1">
      <alignment horizontal="left" vertical="center" wrapText="1" indent="1"/>
      <protection/>
    </xf>
    <xf numFmtId="0" fontId="0" fillId="34" borderId="10"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2" fontId="0" fillId="0" borderId="24" xfId="0" applyNumberFormat="1"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34" borderId="10" xfId="0" applyFont="1" applyFill="1" applyBorder="1" applyAlignment="1" applyProtection="1">
      <alignment horizontal="center"/>
      <protection/>
    </xf>
    <xf numFmtId="0" fontId="0" fillId="0" borderId="26" xfId="0" applyFont="1" applyBorder="1" applyAlignment="1" applyProtection="1">
      <alignment horizontal="center" vertical="center"/>
      <protection/>
    </xf>
    <xf numFmtId="0" fontId="0" fillId="0" borderId="27" xfId="0" applyFont="1" applyFill="1" applyBorder="1" applyAlignment="1" applyProtection="1">
      <alignment horizontal="left" vertical="center" wrapText="1" indent="1"/>
      <protection/>
    </xf>
    <xf numFmtId="0" fontId="0" fillId="0" borderId="15" xfId="0" applyFont="1" applyFill="1" applyBorder="1" applyAlignment="1" applyProtection="1">
      <alignment horizontal="left" vertical="center" wrapText="1" indent="1"/>
      <protection/>
    </xf>
    <xf numFmtId="0" fontId="0" fillId="0" borderId="15" xfId="0" applyFont="1" applyFill="1" applyBorder="1" applyAlignment="1" applyProtection="1">
      <alignment horizontal="center" vertical="center"/>
      <protection/>
    </xf>
    <xf numFmtId="0" fontId="0" fillId="0" borderId="19" xfId="0" applyFont="1" applyBorder="1" applyAlignment="1" applyProtection="1">
      <alignment horizontal="left" vertical="center" wrapText="1" indent="1"/>
      <protection/>
    </xf>
    <xf numFmtId="2" fontId="0" fillId="34" borderId="10" xfId="0" applyNumberFormat="1" applyFont="1" applyFill="1" applyBorder="1" applyAlignment="1" applyProtection="1">
      <alignment horizontal="center"/>
      <protection/>
    </xf>
    <xf numFmtId="0" fontId="10" fillId="34" borderId="19" xfId="0" applyFont="1" applyFill="1" applyBorder="1" applyAlignment="1" applyProtection="1">
      <alignment horizontal="left" vertical="center" wrapText="1" indent="1"/>
      <protection/>
    </xf>
    <xf numFmtId="0" fontId="10" fillId="34" borderId="10" xfId="0" applyFont="1" applyFill="1" applyBorder="1" applyAlignment="1" applyProtection="1">
      <alignment horizontal="left" vertical="center" wrapText="1" indent="1"/>
      <protection/>
    </xf>
    <xf numFmtId="0" fontId="10" fillId="34" borderId="10" xfId="0" applyFont="1" applyFill="1" applyBorder="1" applyAlignment="1" applyProtection="1">
      <alignment horizontal="center" vertical="center"/>
      <protection/>
    </xf>
    <xf numFmtId="2" fontId="10" fillId="34" borderId="10" xfId="0" applyNumberFormat="1"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wrapText="1"/>
      <protection/>
    </xf>
    <xf numFmtId="184" fontId="10" fillId="34" borderId="10"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wrapText="1"/>
      <protection/>
    </xf>
    <xf numFmtId="0" fontId="5" fillId="34" borderId="1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2"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2" fontId="5" fillId="34" borderId="11" xfId="0" applyNumberFormat="1" applyFont="1" applyFill="1" applyBorder="1" applyAlignment="1" applyProtection="1">
      <alignment horizontal="center" vertical="center"/>
      <protection/>
    </xf>
    <xf numFmtId="0" fontId="10" fillId="34" borderId="19" xfId="0"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wrapText="1"/>
      <protection/>
    </xf>
    <xf numFmtId="0" fontId="10" fillId="34" borderId="11" xfId="0" applyFont="1" applyFill="1" applyBorder="1" applyAlignment="1" applyProtection="1">
      <alignment horizontal="center" vertical="center"/>
      <protection/>
    </xf>
    <xf numFmtId="2" fontId="10" fillId="34" borderId="11" xfId="0" applyNumberFormat="1" applyFont="1" applyFill="1" applyBorder="1" applyAlignment="1" applyProtection="1">
      <alignment horizontal="center" vertical="center"/>
      <protection/>
    </xf>
    <xf numFmtId="0" fontId="12" fillId="34" borderId="0" xfId="0" applyFont="1" applyFill="1" applyBorder="1" applyAlignment="1" applyProtection="1">
      <alignment vertical="center"/>
      <protection/>
    </xf>
    <xf numFmtId="0" fontId="12" fillId="34" borderId="17" xfId="0" applyFont="1" applyFill="1" applyBorder="1" applyAlignment="1" applyProtection="1">
      <alignment vertical="center"/>
      <protection/>
    </xf>
    <xf numFmtId="0" fontId="12" fillId="34" borderId="0" xfId="0" applyFont="1" applyFill="1" applyAlignment="1" applyProtection="1">
      <alignment vertical="center"/>
      <protection/>
    </xf>
    <xf numFmtId="0" fontId="12" fillId="35" borderId="0" xfId="0" applyFont="1" applyFill="1" applyAlignment="1" applyProtection="1">
      <alignment vertical="center"/>
      <protection/>
    </xf>
    <xf numFmtId="0" fontId="5" fillId="0" borderId="29" xfId="0" applyFont="1" applyBorder="1" applyAlignment="1" applyProtection="1">
      <alignment horizontal="left" vertical="top" wrapText="1"/>
      <protection/>
    </xf>
    <xf numFmtId="0" fontId="5" fillId="0" borderId="30" xfId="0" applyFont="1" applyBorder="1" applyAlignment="1" applyProtection="1">
      <alignment horizontal="center" vertical="top" wrapText="1"/>
      <protection/>
    </xf>
    <xf numFmtId="0" fontId="5" fillId="0" borderId="31" xfId="0" applyFont="1" applyBorder="1" applyAlignment="1" applyProtection="1">
      <alignment/>
      <protection/>
    </xf>
    <xf numFmtId="0" fontId="5" fillId="0" borderId="32" xfId="0" applyFont="1" applyBorder="1" applyAlignment="1" applyProtection="1">
      <alignment/>
      <protection/>
    </xf>
    <xf numFmtId="0" fontId="12" fillId="35" borderId="31" xfId="0" applyFont="1" applyFill="1" applyBorder="1" applyAlignment="1" applyProtection="1">
      <alignment vertical="center"/>
      <protection/>
    </xf>
    <xf numFmtId="0" fontId="12" fillId="35" borderId="32" xfId="0" applyFont="1" applyFill="1" applyBorder="1" applyAlignment="1" applyProtection="1">
      <alignment vertical="center"/>
      <protection/>
    </xf>
    <xf numFmtId="0" fontId="5" fillId="0" borderId="0" xfId="0" applyFont="1" applyBorder="1" applyAlignment="1" applyProtection="1">
      <alignment/>
      <protection/>
    </xf>
    <xf numFmtId="0" fontId="16" fillId="0" borderId="0" xfId="0" applyFont="1" applyBorder="1" applyAlignment="1" applyProtection="1">
      <alignment/>
      <protection/>
    </xf>
    <xf numFmtId="0" fontId="16" fillId="0" borderId="0" xfId="0" applyFont="1" applyBorder="1" applyAlignment="1" applyProtection="1">
      <alignment horizontal="center"/>
      <protection/>
    </xf>
    <xf numFmtId="0" fontId="16" fillId="0" borderId="17" xfId="0" applyFont="1" applyBorder="1" applyAlignment="1" applyProtection="1">
      <alignment/>
      <protection/>
    </xf>
    <xf numFmtId="0" fontId="15" fillId="0" borderId="0" xfId="0" applyFont="1" applyBorder="1" applyAlignment="1" applyProtection="1">
      <alignment horizontal="right"/>
      <protection/>
    </xf>
    <xf numFmtId="0" fontId="5" fillId="0" borderId="0" xfId="0" applyFont="1" applyBorder="1" applyAlignment="1" applyProtection="1">
      <alignment horizontal="center"/>
      <protection/>
    </xf>
    <xf numFmtId="0" fontId="5" fillId="0" borderId="17" xfId="0" applyFont="1" applyBorder="1" applyAlignment="1" applyProtection="1">
      <alignment/>
      <protection/>
    </xf>
    <xf numFmtId="0" fontId="16" fillId="0" borderId="0" xfId="0" applyFont="1" applyBorder="1" applyAlignment="1" applyProtection="1">
      <alignment horizontal="left"/>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0" fillId="34" borderId="0" xfId="0" applyFont="1" applyFill="1" applyBorder="1" applyAlignment="1" applyProtection="1">
      <alignment horizontal="center" vertical="center"/>
      <protection/>
    </xf>
    <xf numFmtId="0" fontId="9" fillId="34" borderId="0" xfId="0" applyFont="1" applyFill="1" applyAlignment="1" applyProtection="1">
      <alignment vertical="center"/>
      <protection/>
    </xf>
    <xf numFmtId="0" fontId="10" fillId="34" borderId="33" xfId="0" applyFont="1" applyFill="1" applyBorder="1" applyAlignment="1" applyProtection="1">
      <alignment horizontal="left" vertical="center" wrapText="1"/>
      <protection/>
    </xf>
    <xf numFmtId="0" fontId="10" fillId="34" borderId="33" xfId="0" applyFont="1" applyFill="1" applyBorder="1" applyAlignment="1" applyProtection="1">
      <alignment horizontal="center" vertical="center" wrapText="1"/>
      <protection/>
    </xf>
    <xf numFmtId="0" fontId="10" fillId="34" borderId="34" xfId="0" applyFont="1" applyFill="1" applyBorder="1" applyAlignment="1" applyProtection="1">
      <alignment horizontal="center" vertical="center" wrapText="1"/>
      <protection/>
    </xf>
    <xf numFmtId="0" fontId="10" fillId="34" borderId="12" xfId="0" applyFont="1" applyFill="1" applyBorder="1" applyAlignment="1" applyProtection="1">
      <alignment vertical="center" wrapText="1"/>
      <protection/>
    </xf>
    <xf numFmtId="0" fontId="10" fillId="34" borderId="10" xfId="0" applyFont="1" applyFill="1" applyBorder="1" applyAlignment="1" applyProtection="1">
      <alignment vertical="center" wrapText="1"/>
      <protection/>
    </xf>
    <xf numFmtId="0" fontId="10" fillId="0" borderId="26" xfId="0" applyFont="1" applyBorder="1" applyAlignment="1" applyProtection="1">
      <alignment horizontal="center" vertical="center" wrapText="1"/>
      <protection/>
    </xf>
    <xf numFmtId="0" fontId="10" fillId="0" borderId="20" xfId="0" applyFont="1" applyBorder="1" applyAlignment="1" applyProtection="1">
      <alignment vertical="center" wrapText="1"/>
      <protection/>
    </xf>
    <xf numFmtId="0" fontId="10" fillId="0" borderId="15" xfId="0" applyFont="1" applyBorder="1" applyAlignment="1" applyProtection="1">
      <alignment horizontal="left" vertical="center" wrapText="1"/>
      <protection/>
    </xf>
    <xf numFmtId="0" fontId="10" fillId="0" borderId="15" xfId="0" applyFont="1" applyBorder="1" applyAlignment="1" applyProtection="1">
      <alignment horizontal="center" vertical="center" wrapText="1"/>
      <protection/>
    </xf>
    <xf numFmtId="2" fontId="10" fillId="0" borderId="15" xfId="0" applyNumberFormat="1" applyFont="1" applyBorder="1" applyAlignment="1" applyProtection="1">
      <alignment horizontal="center" vertical="center" wrapText="1"/>
      <protection/>
    </xf>
    <xf numFmtId="2" fontId="10" fillId="0" borderId="35" xfId="0" applyNumberFormat="1"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20" xfId="0" applyFont="1" applyBorder="1" applyAlignment="1" applyProtection="1">
      <alignment vertical="center" wrapText="1"/>
      <protection/>
    </xf>
    <xf numFmtId="0" fontId="9"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2" fontId="9" fillId="0" borderId="10" xfId="0" applyNumberFormat="1" applyFont="1" applyBorder="1" applyAlignment="1" applyProtection="1">
      <alignment horizontal="center" vertical="center" wrapText="1"/>
      <protection/>
    </xf>
    <xf numFmtId="2" fontId="9" fillId="0" borderId="24" xfId="0" applyNumberFormat="1" applyFont="1" applyBorder="1" applyAlignment="1" applyProtection="1">
      <alignment horizontal="center" vertical="center" wrapText="1"/>
      <protection/>
    </xf>
    <xf numFmtId="0" fontId="0" fillId="0" borderId="0" xfId="0" applyFont="1" applyFill="1" applyAlignment="1" applyProtection="1">
      <alignment vertical="center"/>
      <protection/>
    </xf>
    <xf numFmtId="0" fontId="9" fillId="0" borderId="20" xfId="0" applyFont="1" applyFill="1" applyBorder="1" applyAlignment="1" applyProtection="1">
      <alignment horizontal="center" vertical="center" wrapText="1"/>
      <protection/>
    </xf>
    <xf numFmtId="185" fontId="9" fillId="0" borderId="10" xfId="0" applyNumberFormat="1" applyFont="1" applyBorder="1" applyAlignment="1" applyProtection="1">
      <alignment horizontal="center" vertical="center" wrapText="1"/>
      <protection/>
    </xf>
    <xf numFmtId="186" fontId="9" fillId="0" borderId="10" xfId="0" applyNumberFormat="1" applyFont="1" applyBorder="1" applyAlignment="1" applyProtection="1">
      <alignment horizontal="center" vertical="center" wrapText="1"/>
      <protection/>
    </xf>
    <xf numFmtId="0" fontId="10" fillId="0" borderId="19"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9" fillId="0" borderId="24"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2" fontId="10" fillId="0" borderId="10" xfId="0" applyNumberFormat="1" applyFont="1" applyBorder="1" applyAlignment="1" applyProtection="1">
      <alignment horizontal="center" vertical="center" wrapText="1"/>
      <protection/>
    </xf>
    <xf numFmtId="2" fontId="10" fillId="0" borderId="24" xfId="0" applyNumberFormat="1" applyFont="1" applyBorder="1" applyAlignment="1" applyProtection="1">
      <alignment horizontal="center" vertical="center" wrapText="1"/>
      <protection/>
    </xf>
    <xf numFmtId="0" fontId="9" fillId="34" borderId="20" xfId="0" applyFont="1" applyFill="1" applyBorder="1" applyAlignment="1" applyProtection="1">
      <alignment vertical="center" wrapText="1"/>
      <protection/>
    </xf>
    <xf numFmtId="0" fontId="9" fillId="0" borderId="20" xfId="0" applyFont="1" applyFill="1" applyBorder="1" applyAlignment="1" applyProtection="1">
      <alignment vertical="center" wrapText="1"/>
      <protection/>
    </xf>
    <xf numFmtId="0" fontId="9" fillId="0" borderId="10" xfId="0" applyFont="1" applyFill="1" applyBorder="1" applyAlignment="1" applyProtection="1">
      <alignment horizontal="left" vertical="center" wrapText="1"/>
      <protection/>
    </xf>
    <xf numFmtId="2"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wrapText="1"/>
      <protection/>
    </xf>
    <xf numFmtId="1" fontId="9" fillId="0" borderId="24" xfId="0" applyNumberFormat="1" applyFont="1" applyFill="1" applyBorder="1" applyAlignment="1" applyProtection="1">
      <alignment horizontal="center" vertical="center" wrapText="1"/>
      <protection/>
    </xf>
    <xf numFmtId="184" fontId="9" fillId="0" borderId="10" xfId="0" applyNumberFormat="1" applyFont="1" applyFill="1" applyBorder="1" applyAlignment="1" applyProtection="1">
      <alignment horizontal="center" vertical="center" wrapText="1"/>
      <protection/>
    </xf>
    <xf numFmtId="184" fontId="9" fillId="0" borderId="24"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0" fillId="36" borderId="0" xfId="0" applyFont="1" applyFill="1" applyAlignment="1" applyProtection="1">
      <alignment vertical="center"/>
      <protection/>
    </xf>
    <xf numFmtId="0" fontId="0" fillId="35" borderId="0" xfId="0" applyFont="1" applyFill="1" applyAlignment="1" applyProtection="1">
      <alignment vertical="center"/>
      <protection/>
    </xf>
    <xf numFmtId="0" fontId="0" fillId="0" borderId="2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vertical="center"/>
      <protection/>
    </xf>
    <xf numFmtId="0" fontId="5" fillId="0" borderId="17" xfId="0"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0" fillId="0" borderId="36" xfId="0" applyFont="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vertical="center"/>
      <protection/>
    </xf>
    <xf numFmtId="0" fontId="18" fillId="0" borderId="0" xfId="0" applyFont="1" applyAlignment="1">
      <alignment/>
    </xf>
    <xf numFmtId="0" fontId="19" fillId="0" borderId="0" xfId="0" applyFont="1" applyAlignment="1">
      <alignment/>
    </xf>
    <xf numFmtId="0" fontId="0" fillId="0" borderId="37"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vertical="top"/>
    </xf>
    <xf numFmtId="0" fontId="0" fillId="0" borderId="10" xfId="0" applyFont="1" applyBorder="1" applyAlignment="1">
      <alignment horizontal="left" vertical="top"/>
    </xf>
    <xf numFmtId="1" fontId="0" fillId="0" borderId="10" xfId="0" applyNumberFormat="1" applyFont="1" applyBorder="1" applyAlignment="1">
      <alignment horizontal="center" vertical="top"/>
    </xf>
    <xf numFmtId="1" fontId="0" fillId="0" borderId="10" xfId="0" applyNumberFormat="1" applyFont="1" applyBorder="1" applyAlignment="1">
      <alignment horizontal="center"/>
    </xf>
    <xf numFmtId="1" fontId="0" fillId="0" borderId="10" xfId="0" applyNumberFormat="1" applyFont="1" applyBorder="1" applyAlignment="1">
      <alignment horizontal="center" vertical="center"/>
    </xf>
    <xf numFmtId="1" fontId="5" fillId="33" borderId="10" xfId="0" applyNumberFormat="1" applyFont="1" applyFill="1" applyBorder="1" applyAlignment="1">
      <alignment horizontal="center"/>
    </xf>
    <xf numFmtId="1" fontId="5" fillId="33" borderId="10" xfId="0" applyNumberFormat="1" applyFont="1" applyFill="1" applyBorder="1" applyAlignment="1">
      <alignment horizontal="center" vertical="center"/>
    </xf>
    <xf numFmtId="185" fontId="0" fillId="0" borderId="10" xfId="0" applyNumberFormat="1" applyFont="1" applyBorder="1" applyAlignment="1">
      <alignment horizontal="center"/>
    </xf>
    <xf numFmtId="0" fontId="0" fillId="0" borderId="10" xfId="0" applyFont="1" applyFill="1" applyBorder="1" applyAlignment="1">
      <alignment horizontal="left" vertical="center" wrapText="1"/>
    </xf>
    <xf numFmtId="0" fontId="20" fillId="0" borderId="10" xfId="0" applyFont="1" applyBorder="1" applyAlignment="1">
      <alignment horizontal="left" vertical="center"/>
    </xf>
    <xf numFmtId="0" fontId="19" fillId="0" borderId="0" xfId="0" applyFont="1" applyAlignment="1">
      <alignment vertical="center"/>
    </xf>
    <xf numFmtId="1" fontId="0" fillId="0" borderId="10"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1" fontId="5" fillId="33" borderId="10" xfId="0" applyNumberFormat="1" applyFont="1" applyFill="1" applyBorder="1" applyAlignment="1">
      <alignment horizontal="center" vertical="center" wrapText="1"/>
    </xf>
    <xf numFmtId="0" fontId="0" fillId="0" borderId="0" xfId="0" applyFont="1" applyAlignment="1">
      <alignment vertical="center" wrapText="1"/>
    </xf>
    <xf numFmtId="0" fontId="5" fillId="34" borderId="10" xfId="0" applyFont="1" applyFill="1" applyBorder="1" applyAlignment="1">
      <alignment horizontal="left" vertical="center"/>
    </xf>
    <xf numFmtId="2" fontId="5" fillId="34" borderId="10" xfId="0" applyNumberFormat="1" applyFont="1" applyFill="1" applyBorder="1" applyAlignment="1">
      <alignment horizontal="center" vertical="center"/>
    </xf>
    <xf numFmtId="0" fontId="5" fillId="0" borderId="0" xfId="0" applyFont="1" applyAlignment="1">
      <alignment vertical="center"/>
    </xf>
    <xf numFmtId="0" fontId="1" fillId="0" borderId="10" xfId="0" applyFont="1" applyBorder="1" applyAlignment="1">
      <alignment vertical="center" wrapText="1"/>
    </xf>
    <xf numFmtId="0" fontId="0" fillId="34" borderId="10" xfId="0" applyFont="1" applyFill="1" applyBorder="1" applyAlignment="1">
      <alignment horizontal="left" vertical="center"/>
    </xf>
    <xf numFmtId="0" fontId="5" fillId="34" borderId="10" xfId="0" applyFont="1" applyFill="1" applyBorder="1" applyAlignment="1">
      <alignment horizontal="left" vertical="center" wrapText="1"/>
    </xf>
    <xf numFmtId="0" fontId="5" fillId="0" borderId="10" xfId="0" applyFont="1" applyBorder="1" applyAlignment="1">
      <alignment horizontal="left" vertical="center" wrapText="1"/>
    </xf>
    <xf numFmtId="2" fontId="5" fillId="0" borderId="10" xfId="0" applyNumberFormat="1" applyFont="1" applyBorder="1" applyAlignment="1">
      <alignment horizontal="center" vertical="center"/>
    </xf>
    <xf numFmtId="2" fontId="1" fillId="0" borderId="10" xfId="60" applyNumberFormat="1" applyFont="1" applyBorder="1" applyAlignment="1">
      <alignment horizontal="center" vertical="center"/>
    </xf>
    <xf numFmtId="2" fontId="5" fillId="33" borderId="10" xfId="0" applyNumberFormat="1" applyFont="1" applyFill="1" applyBorder="1" applyAlignment="1">
      <alignment horizontal="left" vertical="center" wrapText="1"/>
    </xf>
    <xf numFmtId="2" fontId="5" fillId="33" borderId="10" xfId="0" applyNumberFormat="1" applyFont="1" applyFill="1" applyBorder="1" applyAlignment="1">
      <alignment horizontal="center" vertical="center" wrapText="1"/>
    </xf>
    <xf numFmtId="2" fontId="0" fillId="0" borderId="10" xfId="0" applyNumberFormat="1" applyFont="1" applyBorder="1" applyAlignment="1">
      <alignment horizontal="left" vertical="center"/>
    </xf>
    <xf numFmtId="2" fontId="0" fillId="0" borderId="10" xfId="0" applyNumberFormat="1" applyFont="1" applyBorder="1" applyAlignment="1">
      <alignment horizontal="left" vertical="center" wrapText="1"/>
    </xf>
    <xf numFmtId="1" fontId="0" fillId="0" borderId="38" xfId="0" applyNumberFormat="1" applyFont="1" applyBorder="1" applyAlignment="1">
      <alignment horizontal="center" vertical="center"/>
    </xf>
    <xf numFmtId="0" fontId="9" fillId="0" borderId="10" xfId="0" applyFont="1" applyFill="1" applyBorder="1" applyAlignment="1" applyProtection="1">
      <alignment vertical="center" wrapText="1"/>
      <protection/>
    </xf>
    <xf numFmtId="0" fontId="9" fillId="34" borderId="10" xfId="0" applyFont="1" applyFill="1" applyBorder="1" applyAlignment="1" applyProtection="1">
      <alignment horizontal="left" vertical="center" wrapText="1"/>
      <protection/>
    </xf>
    <xf numFmtId="1" fontId="0" fillId="0" borderId="0" xfId="0" applyNumberFormat="1" applyFont="1" applyAlignment="1">
      <alignment horizontal="center" vertical="center"/>
    </xf>
    <xf numFmtId="2" fontId="0" fillId="0" borderId="0" xfId="0" applyNumberFormat="1" applyFont="1" applyAlignment="1">
      <alignment vertical="center"/>
    </xf>
    <xf numFmtId="0" fontId="0" fillId="33" borderId="10" xfId="0" applyFill="1" applyBorder="1" applyAlignment="1">
      <alignment/>
    </xf>
    <xf numFmtId="0" fontId="0" fillId="33" borderId="10" xfId="0" applyFill="1" applyBorder="1" applyAlignment="1">
      <alignment horizontal="center"/>
    </xf>
    <xf numFmtId="0" fontId="5"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left" vertical="center" wrapText="1"/>
      <protection/>
    </xf>
    <xf numFmtId="0" fontId="5" fillId="33" borderId="10" xfId="0" applyFont="1" applyFill="1" applyBorder="1" applyAlignment="1" applyProtection="1">
      <alignment vertical="center" wrapText="1"/>
      <protection locked="0"/>
    </xf>
    <xf numFmtId="0" fontId="0" fillId="33" borderId="10" xfId="0"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wrapText="1"/>
      <protection locked="0"/>
    </xf>
    <xf numFmtId="0" fontId="5" fillId="37" borderId="26" xfId="0" applyFont="1" applyFill="1" applyBorder="1" applyAlignment="1" applyProtection="1">
      <alignment horizontal="center" vertical="center" wrapText="1"/>
      <protection/>
    </xf>
    <xf numFmtId="0" fontId="5" fillId="37" borderId="15" xfId="0" applyFont="1" applyFill="1" applyBorder="1" applyAlignment="1" applyProtection="1">
      <alignment vertical="center" wrapText="1"/>
      <protection/>
    </xf>
    <xf numFmtId="0" fontId="5" fillId="37" borderId="15" xfId="0" applyFont="1" applyFill="1" applyBorder="1" applyAlignment="1" applyProtection="1">
      <alignment horizontal="center" vertical="center" wrapText="1"/>
      <protection/>
    </xf>
    <xf numFmtId="2" fontId="5" fillId="37" borderId="15" xfId="0" applyNumberFormat="1"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center" vertical="center"/>
      <protection locked="0"/>
    </xf>
    <xf numFmtId="0" fontId="5" fillId="33" borderId="15" xfId="0" applyFont="1" applyFill="1" applyBorder="1" applyAlignment="1" applyProtection="1">
      <alignment vertical="center" wrapText="1"/>
      <protection locked="0"/>
    </xf>
    <xf numFmtId="0" fontId="0" fillId="33" borderId="15"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2" fontId="0" fillId="33" borderId="11" xfId="0" applyNumberFormat="1" applyFont="1" applyFill="1" applyBorder="1" applyAlignment="1" applyProtection="1">
      <alignment horizontal="center" vertical="center"/>
      <protection locked="0"/>
    </xf>
    <xf numFmtId="0" fontId="5" fillId="33" borderId="11" xfId="0" applyFont="1" applyFill="1" applyBorder="1" applyAlignment="1">
      <alignment horizontal="center" vertical="top" wrapText="1"/>
    </xf>
    <xf numFmtId="0" fontId="5" fillId="33" borderId="15" xfId="0" applyFont="1" applyFill="1" applyBorder="1" applyAlignment="1">
      <alignment horizontal="center" vertical="top" wrapText="1"/>
    </xf>
    <xf numFmtId="0" fontId="0" fillId="0" borderId="0" xfId="0" applyFill="1" applyAlignment="1">
      <alignment/>
    </xf>
    <xf numFmtId="0" fontId="0" fillId="34" borderId="0"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2" fontId="5" fillId="0" borderId="10" xfId="0" applyNumberFormat="1" applyFont="1" applyFill="1" applyBorder="1" applyAlignment="1">
      <alignment horizontal="left" vertical="center" wrapText="1"/>
    </xf>
    <xf numFmtId="2" fontId="5" fillId="0" borderId="10" xfId="0" applyNumberFormat="1" applyFont="1" applyFill="1" applyBorder="1" applyAlignment="1">
      <alignment horizontal="left" vertical="center"/>
    </xf>
    <xf numFmtId="2" fontId="5" fillId="0" borderId="10" xfId="0" applyNumberFormat="1" applyFont="1" applyFill="1" applyBorder="1" applyAlignment="1">
      <alignment horizontal="center" vertical="center"/>
    </xf>
    <xf numFmtId="2"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left" vertical="center"/>
    </xf>
    <xf numFmtId="186" fontId="0" fillId="0" borderId="10"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0" fillId="0" borderId="15" xfId="0" applyFont="1" applyFill="1" applyBorder="1" applyAlignment="1" applyProtection="1">
      <alignment horizontal="center" vertical="center" wrapText="1"/>
      <protection locked="0"/>
    </xf>
    <xf numFmtId="0" fontId="5" fillId="35" borderId="18" xfId="0" applyFont="1" applyFill="1" applyBorder="1" applyAlignment="1" applyProtection="1">
      <alignment vertical="center" wrapText="1"/>
      <protection/>
    </xf>
    <xf numFmtId="0" fontId="5" fillId="35" borderId="18"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35" borderId="18" xfId="0" applyFont="1" applyFill="1" applyBorder="1" applyAlignment="1" applyProtection="1">
      <alignment vertical="center"/>
      <protection/>
    </xf>
    <xf numFmtId="0" fontId="5" fillId="35" borderId="18"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xf>
    <xf numFmtId="0" fontId="5" fillId="35" borderId="14" xfId="0" applyFont="1" applyFill="1" applyBorder="1" applyAlignment="1" applyProtection="1">
      <alignment vertical="center"/>
      <protection/>
    </xf>
    <xf numFmtId="0" fontId="5" fillId="35" borderId="39" xfId="0" applyFont="1" applyFill="1" applyBorder="1" applyAlignment="1" applyProtection="1">
      <alignment horizontal="center" vertical="center"/>
      <protection/>
    </xf>
    <xf numFmtId="0" fontId="5" fillId="35" borderId="39" xfId="0" applyFont="1" applyFill="1" applyBorder="1" applyAlignment="1" applyProtection="1">
      <alignment vertical="center"/>
      <protection/>
    </xf>
    <xf numFmtId="0" fontId="5" fillId="0" borderId="10" xfId="0" applyFont="1" applyFill="1" applyBorder="1" applyAlignment="1" applyProtection="1">
      <alignment horizontal="center" vertical="center" wrapText="1"/>
      <protection/>
    </xf>
    <xf numFmtId="0" fontId="5" fillId="35" borderId="13" xfId="0" applyFont="1" applyFill="1" applyBorder="1" applyAlignment="1" applyProtection="1">
      <alignment horizontal="left" vertical="center"/>
      <protection/>
    </xf>
    <xf numFmtId="2" fontId="5" fillId="33" borderId="40" xfId="0" applyNumberFormat="1"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wrapText="1"/>
      <protection/>
    </xf>
    <xf numFmtId="0" fontId="5" fillId="35" borderId="11" xfId="0" applyFont="1" applyFill="1" applyBorder="1" applyAlignment="1" applyProtection="1">
      <alignment horizontal="left" vertical="center" wrapText="1"/>
      <protection/>
    </xf>
    <xf numFmtId="2" fontId="5" fillId="0"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vertical="center" wrapText="1"/>
      <protection/>
    </xf>
    <xf numFmtId="0" fontId="0" fillId="33" borderId="10" xfId="0" applyFont="1" applyFill="1" applyBorder="1" applyAlignment="1" applyProtection="1">
      <alignment horizontal="center" vertical="center" wrapText="1"/>
      <protection locked="0"/>
    </xf>
    <xf numFmtId="2" fontId="0" fillId="33" borderId="10" xfId="0" applyNumberFormat="1"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2" fontId="0" fillId="33" borderId="10" xfId="0" applyNumberFormat="1" applyFont="1" applyFill="1" applyBorder="1" applyAlignment="1" applyProtection="1">
      <alignment horizontal="center" vertical="center"/>
      <protection locked="0"/>
    </xf>
    <xf numFmtId="2" fontId="0" fillId="33" borderId="10" xfId="0" applyNumberFormat="1" applyFont="1" applyFill="1" applyBorder="1" applyAlignment="1" applyProtection="1">
      <alignment horizontal="center" vertical="center" wrapText="1"/>
      <protection locked="0"/>
    </xf>
    <xf numFmtId="0" fontId="9" fillId="34" borderId="20" xfId="0" applyFont="1" applyFill="1" applyBorder="1" applyAlignment="1" applyProtection="1">
      <alignment wrapText="1"/>
      <protection/>
    </xf>
    <xf numFmtId="0" fontId="9" fillId="34" borderId="10" xfId="0" applyFont="1" applyFill="1" applyBorder="1" applyAlignment="1" applyProtection="1">
      <alignment horizontal="center" wrapText="1"/>
      <protection/>
    </xf>
    <xf numFmtId="2" fontId="9" fillId="34" borderId="38" xfId="0" applyNumberFormat="1" applyFont="1" applyFill="1" applyBorder="1" applyAlignment="1" applyProtection="1">
      <alignment horizontal="center" wrapText="1"/>
      <protection/>
    </xf>
    <xf numFmtId="0" fontId="5" fillId="33" borderId="20" xfId="0" applyFont="1" applyFill="1" applyBorder="1" applyAlignment="1" applyProtection="1">
      <alignment horizontal="center" vertical="center"/>
      <protection/>
    </xf>
    <xf numFmtId="2" fontId="5" fillId="35" borderId="13" xfId="0" applyNumberFormat="1" applyFont="1" applyFill="1" applyBorder="1" applyAlignment="1" applyProtection="1">
      <alignment horizontal="center" vertical="center" wrapText="1"/>
      <protection/>
    </xf>
    <xf numFmtId="2" fontId="5" fillId="35" borderId="18"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center" vertical="center"/>
      <protection locked="0"/>
    </xf>
    <xf numFmtId="2" fontId="5" fillId="33" borderId="10" xfId="0" applyNumberFormat="1" applyFont="1" applyFill="1" applyBorder="1" applyAlignment="1" applyProtection="1">
      <alignment vertical="center" wrapText="1"/>
      <protection locked="0"/>
    </xf>
    <xf numFmtId="2" fontId="5" fillId="0" borderId="15" xfId="0" applyNumberFormat="1" applyFont="1" applyFill="1" applyBorder="1" applyAlignment="1" applyProtection="1">
      <alignment horizontal="left" vertical="center" wrapText="1"/>
      <protection locked="0"/>
    </xf>
    <xf numFmtId="2" fontId="0" fillId="0" borderId="15" xfId="0" applyNumberFormat="1" applyFont="1" applyFill="1" applyBorder="1" applyAlignment="1" applyProtection="1">
      <alignment horizontal="center" vertical="center"/>
      <protection locked="0"/>
    </xf>
    <xf numFmtId="2" fontId="5" fillId="35" borderId="18" xfId="0" applyNumberFormat="1" applyFont="1" applyFill="1" applyBorder="1" applyAlignment="1" applyProtection="1">
      <alignment horizontal="center" vertical="center"/>
      <protection/>
    </xf>
    <xf numFmtId="2" fontId="0" fillId="0" borderId="15" xfId="0" applyNumberFormat="1" applyFont="1" applyBorder="1" applyAlignment="1" applyProtection="1">
      <alignment horizontal="center" vertical="center"/>
      <protection locked="0"/>
    </xf>
    <xf numFmtId="2" fontId="0" fillId="37" borderId="10" xfId="0" applyNumberFormat="1" applyFont="1" applyFill="1" applyBorder="1" applyAlignment="1" applyProtection="1">
      <alignment horizontal="center" vertical="center"/>
      <protection locked="0"/>
    </xf>
    <xf numFmtId="2" fontId="0" fillId="34" borderId="15" xfId="0" applyNumberFormat="1" applyFont="1" applyFill="1" applyBorder="1" applyAlignment="1" applyProtection="1">
      <alignment horizontal="center" vertical="center"/>
      <protection locked="0"/>
    </xf>
    <xf numFmtId="2" fontId="5" fillId="0" borderId="10" xfId="0" applyNumberFormat="1" applyFont="1" applyFill="1" applyBorder="1" applyAlignment="1" applyProtection="1">
      <alignment horizontal="center" vertical="center"/>
      <protection/>
    </xf>
    <xf numFmtId="2" fontId="5" fillId="35" borderId="16" xfId="0" applyNumberFormat="1" applyFont="1" applyFill="1" applyBorder="1" applyAlignment="1" applyProtection="1">
      <alignment horizontal="center" vertical="center"/>
      <protection/>
    </xf>
    <xf numFmtId="2" fontId="0" fillId="33" borderId="15" xfId="0" applyNumberFormat="1" applyFont="1" applyFill="1" applyBorder="1" applyAlignment="1" applyProtection="1">
      <alignment horizontal="center" vertical="center"/>
      <protection locked="0"/>
    </xf>
    <xf numFmtId="2" fontId="5" fillId="35" borderId="39" xfId="0" applyNumberFormat="1" applyFont="1" applyFill="1" applyBorder="1" applyAlignment="1" applyProtection="1">
      <alignment horizontal="center" vertical="center"/>
      <protection/>
    </xf>
    <xf numFmtId="2" fontId="5" fillId="35" borderId="14" xfId="0" applyNumberFormat="1" applyFont="1" applyFill="1" applyBorder="1" applyAlignment="1" applyProtection="1">
      <alignment horizontal="center" vertical="center"/>
      <protection/>
    </xf>
    <xf numFmtId="2" fontId="5" fillId="0" borderId="10" xfId="0" applyNumberFormat="1" applyFont="1" applyFill="1" applyBorder="1" applyAlignment="1" applyProtection="1">
      <alignment vertical="center"/>
      <protection/>
    </xf>
    <xf numFmtId="2" fontId="0" fillId="33" borderId="15" xfId="0" applyNumberFormat="1" applyFont="1" applyFill="1" applyBorder="1" applyAlignment="1" applyProtection="1">
      <alignment horizontal="center" vertical="center"/>
      <protection locked="0"/>
    </xf>
    <xf numFmtId="2" fontId="5" fillId="34" borderId="0" xfId="0" applyNumberFormat="1" applyFont="1" applyFill="1" applyBorder="1" applyAlignment="1" applyProtection="1">
      <alignment horizontal="center" vertical="center"/>
      <protection locked="0"/>
    </xf>
    <xf numFmtId="2" fontId="5" fillId="33" borderId="11" xfId="0" applyNumberFormat="1" applyFont="1" applyFill="1" applyBorder="1" applyAlignment="1" applyProtection="1">
      <alignment horizontal="center" vertical="center"/>
      <protection locked="0"/>
    </xf>
    <xf numFmtId="2" fontId="5" fillId="33" borderId="15" xfId="0" applyNumberFormat="1" applyFont="1" applyFill="1" applyBorder="1" applyAlignment="1" applyProtection="1">
      <alignment vertical="center" wrapText="1"/>
      <protection locked="0"/>
    </xf>
    <xf numFmtId="2" fontId="5" fillId="35" borderId="10" xfId="0" applyNumberFormat="1" applyFont="1" applyFill="1" applyBorder="1" applyAlignment="1" applyProtection="1">
      <alignment horizontal="center" vertical="center" wrapText="1"/>
      <protection/>
    </xf>
    <xf numFmtId="2" fontId="5" fillId="35" borderId="11" xfId="0" applyNumberFormat="1" applyFont="1" applyFill="1" applyBorder="1" applyAlignment="1" applyProtection="1">
      <alignment horizontal="center" vertical="center" wrapText="1"/>
      <protection/>
    </xf>
    <xf numFmtId="2" fontId="5" fillId="35" borderId="16" xfId="0" applyNumberFormat="1" applyFont="1" applyFill="1" applyBorder="1" applyAlignment="1" applyProtection="1">
      <alignment horizontal="center" vertical="center" wrapText="1"/>
      <protection/>
    </xf>
    <xf numFmtId="0" fontId="5" fillId="35" borderId="18" xfId="0" applyFont="1" applyFill="1" applyBorder="1" applyAlignment="1" applyProtection="1">
      <alignment horizontal="left" vertical="center"/>
      <protection/>
    </xf>
    <xf numFmtId="2" fontId="0" fillId="0" borderId="10" xfId="0" applyNumberFormat="1" applyFont="1" applyBorder="1" applyAlignment="1" applyProtection="1">
      <alignment horizontal="center" vertical="center"/>
      <protection/>
    </xf>
    <xf numFmtId="2" fontId="0" fillId="35" borderId="11" xfId="0" applyNumberFormat="1" applyFont="1" applyFill="1" applyBorder="1" applyAlignment="1" applyProtection="1">
      <alignment horizontal="center" vertical="center"/>
      <protection/>
    </xf>
    <xf numFmtId="0" fontId="5" fillId="35" borderId="21" xfId="0" applyFont="1" applyFill="1" applyBorder="1" applyAlignment="1" applyProtection="1">
      <alignment vertical="center" wrapText="1"/>
      <protection/>
    </xf>
    <xf numFmtId="0" fontId="5" fillId="35" borderId="21" xfId="0" applyFont="1" applyFill="1" applyBorder="1" applyAlignment="1" applyProtection="1">
      <alignment horizontal="center" vertical="center" wrapText="1"/>
      <protection/>
    </xf>
    <xf numFmtId="2" fontId="5" fillId="35" borderId="21"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wrapText="1"/>
      <protection/>
    </xf>
    <xf numFmtId="0" fontId="10" fillId="0" borderId="10" xfId="0" applyFont="1" applyFill="1" applyBorder="1" applyAlignment="1" applyProtection="1">
      <alignment horizontal="left" vertical="center" wrapText="1"/>
      <protection/>
    </xf>
    <xf numFmtId="2" fontId="10" fillId="0" borderId="10" xfId="0" applyNumberFormat="1"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5" xfId="0" applyFont="1" applyFill="1" applyBorder="1" applyAlignment="1" applyProtection="1">
      <alignment vertical="center" wrapText="1"/>
      <protection/>
    </xf>
    <xf numFmtId="0" fontId="10" fillId="33" borderId="11" xfId="0" applyFont="1" applyFill="1" applyBorder="1" applyAlignment="1" applyProtection="1">
      <alignment horizontal="left" vertical="center" wrapText="1"/>
      <protection/>
    </xf>
    <xf numFmtId="2" fontId="10" fillId="33" borderId="11" xfId="0" applyNumberFormat="1" applyFont="1" applyFill="1" applyBorder="1" applyAlignment="1" applyProtection="1">
      <alignment horizontal="center" vertical="center" wrapText="1"/>
      <protection/>
    </xf>
    <xf numFmtId="0" fontId="10" fillId="35" borderId="10" xfId="0" applyFont="1" applyFill="1" applyBorder="1" applyAlignment="1" applyProtection="1">
      <alignment vertical="center" wrapText="1"/>
      <protection/>
    </xf>
    <xf numFmtId="0" fontId="10" fillId="35" borderId="10" xfId="0" applyFont="1" applyFill="1" applyBorder="1" applyAlignment="1" applyProtection="1">
      <alignment horizontal="center" vertical="center" wrapText="1"/>
      <protection/>
    </xf>
    <xf numFmtId="0" fontId="5" fillId="35" borderId="0" xfId="0" applyFont="1" applyFill="1" applyAlignment="1" applyProtection="1">
      <alignment vertical="center"/>
      <protection/>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2" fontId="0" fillId="0"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vertical="center" wrapText="1"/>
    </xf>
    <xf numFmtId="2"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vertical="center" wrapText="1"/>
    </xf>
    <xf numFmtId="2" fontId="0" fillId="33"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Border="1" applyAlignment="1">
      <alignment vertical="center" wrapText="1"/>
    </xf>
    <xf numFmtId="1" fontId="0" fillId="0" borderId="15" xfId="0" applyNumberFormat="1" applyFont="1" applyBorder="1" applyAlignment="1">
      <alignment horizontal="center" vertical="center" wrapText="1"/>
    </xf>
    <xf numFmtId="0" fontId="0" fillId="0" borderId="15" xfId="0" applyFont="1" applyFill="1" applyBorder="1" applyAlignment="1">
      <alignment vertical="center" wrapText="1"/>
    </xf>
    <xf numFmtId="184" fontId="0" fillId="0" borderId="10" xfId="0" applyNumberFormat="1" applyFont="1" applyFill="1" applyBorder="1" applyAlignment="1">
      <alignment horizontal="center" vertical="center" wrapText="1"/>
    </xf>
    <xf numFmtId="0" fontId="5" fillId="33" borderId="11" xfId="0" applyFont="1" applyFill="1" applyBorder="1" applyAlignment="1" applyProtection="1">
      <alignment vertical="center" wrapText="1"/>
      <protection locked="0"/>
    </xf>
    <xf numFmtId="0" fontId="5" fillId="33" borderId="15" xfId="0" applyFont="1" applyFill="1" applyBorder="1" applyAlignment="1">
      <alignment vertical="center" wrapText="1"/>
    </xf>
    <xf numFmtId="186" fontId="0" fillId="0" borderId="11" xfId="0" applyNumberFormat="1" applyFont="1" applyFill="1" applyBorder="1" applyAlignment="1">
      <alignment horizontal="center" vertical="center" wrapText="1"/>
    </xf>
    <xf numFmtId="186" fontId="0" fillId="0" borderId="0" xfId="0" applyNumberFormat="1" applyFont="1" applyAlignment="1">
      <alignment vertical="center"/>
    </xf>
    <xf numFmtId="184" fontId="0" fillId="0" borderId="10" xfId="0" applyNumberFormat="1"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33"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protection locked="0"/>
    </xf>
    <xf numFmtId="0" fontId="5" fillId="0" borderId="10"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10" xfId="0" applyFont="1" applyBorder="1" applyAlignment="1" applyProtection="1">
      <alignment horizontal="center"/>
      <protection/>
    </xf>
    <xf numFmtId="0" fontId="0" fillId="0" borderId="10" xfId="0" applyFont="1" applyBorder="1" applyAlignment="1" applyProtection="1">
      <alignment/>
      <protection/>
    </xf>
    <xf numFmtId="0" fontId="0" fillId="0" borderId="10" xfId="0" applyFont="1" applyBorder="1" applyAlignment="1" applyProtection="1">
      <alignment vertical="top"/>
      <protection/>
    </xf>
    <xf numFmtId="0" fontId="21" fillId="0" borderId="10" xfId="0" applyFont="1" applyBorder="1" applyAlignment="1" applyProtection="1">
      <alignment vertical="top" wrapText="1"/>
      <protection/>
    </xf>
    <xf numFmtId="0" fontId="0" fillId="0" borderId="0" xfId="0" applyFont="1" applyFill="1" applyAlignment="1" applyProtection="1">
      <alignment vertical="top" wrapText="1"/>
      <protection/>
    </xf>
    <xf numFmtId="0" fontId="16" fillId="37" borderId="10" xfId="0"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0" xfId="0" applyFont="1" applyBorder="1" applyAlignment="1" applyProtection="1">
      <alignment vertical="center" wrapText="1"/>
      <protection/>
    </xf>
    <xf numFmtId="0" fontId="0" fillId="0" borderId="0" xfId="0" applyFont="1" applyFill="1" applyBorder="1" applyAlignment="1" applyProtection="1">
      <alignment vertical="top" wrapText="1"/>
      <protection/>
    </xf>
    <xf numFmtId="0" fontId="22"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vertical="top" wrapText="1"/>
      <protection/>
    </xf>
    <xf numFmtId="0" fontId="21" fillId="0" borderId="10" xfId="0" applyFont="1" applyFill="1" applyBorder="1" applyAlignment="1" applyProtection="1">
      <alignment vertical="top" wrapText="1"/>
      <protection/>
    </xf>
    <xf numFmtId="0" fontId="5" fillId="0" borderId="10" xfId="0" applyFont="1" applyBorder="1" applyAlignment="1" applyProtection="1">
      <alignment vertical="top"/>
      <protection/>
    </xf>
    <xf numFmtId="0" fontId="23" fillId="0" borderId="10" xfId="0" applyFont="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0" xfId="0" applyFont="1" applyAlignment="1" applyProtection="1">
      <alignment/>
      <protection/>
    </xf>
    <xf numFmtId="0" fontId="5" fillId="0" borderId="10" xfId="0" applyFont="1" applyBorder="1" applyAlignment="1" applyProtection="1">
      <alignment horizontal="center"/>
      <protection/>
    </xf>
    <xf numFmtId="0" fontId="5" fillId="34" borderId="10" xfId="0" applyFont="1" applyFill="1" applyBorder="1" applyAlignment="1" applyProtection="1">
      <alignment vertical="center" wrapText="1"/>
      <protection/>
    </xf>
    <xf numFmtId="0" fontId="21" fillId="0" borderId="15" xfId="0" applyFont="1" applyBorder="1" applyAlignment="1" applyProtection="1">
      <alignment vertical="top" wrapText="1"/>
      <protection/>
    </xf>
    <xf numFmtId="0" fontId="0" fillId="34" borderId="10" xfId="0" applyFont="1" applyFill="1" applyBorder="1" applyAlignment="1" applyProtection="1">
      <alignment vertical="center" wrapText="1"/>
      <protection/>
    </xf>
    <xf numFmtId="0" fontId="0" fillId="0" borderId="0" xfId="0" applyFont="1" applyFill="1" applyBorder="1" applyAlignment="1" applyProtection="1">
      <alignment horizontal="left" vertical="top" wrapText="1"/>
      <protection/>
    </xf>
    <xf numFmtId="0" fontId="21" fillId="0" borderId="10" xfId="0" applyFont="1" applyBorder="1" applyAlignment="1" applyProtection="1">
      <alignment horizontal="left" vertical="top" wrapText="1"/>
      <protection/>
    </xf>
    <xf numFmtId="0" fontId="5" fillId="34" borderId="10" xfId="0" applyFont="1" applyFill="1" applyBorder="1" applyAlignment="1" applyProtection="1">
      <alignment horizontal="center" vertical="center"/>
      <protection/>
    </xf>
    <xf numFmtId="0" fontId="5"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10" xfId="0" applyFont="1" applyBorder="1" applyAlignment="1" applyProtection="1">
      <alignment horizontal="left" wrapText="1"/>
      <protection/>
    </xf>
    <xf numFmtId="0" fontId="5" fillId="0" borderId="0" xfId="0" applyFont="1" applyFill="1" applyAlignment="1" applyProtection="1">
      <alignment vertical="top" wrapText="1"/>
      <protection/>
    </xf>
    <xf numFmtId="0" fontId="5" fillId="0" borderId="10" xfId="0" applyFont="1" applyBorder="1" applyAlignment="1" applyProtection="1">
      <alignment horizontal="left" wrapText="1"/>
      <protection/>
    </xf>
    <xf numFmtId="0" fontId="0" fillId="0" borderId="10" xfId="0" applyFont="1" applyBorder="1" applyAlignment="1" applyProtection="1">
      <alignment horizontal="left"/>
      <protection/>
    </xf>
    <xf numFmtId="0" fontId="0" fillId="0" borderId="0" xfId="0" applyFont="1" applyAlignment="1" applyProtection="1">
      <alignment vertical="top"/>
      <protection/>
    </xf>
    <xf numFmtId="0" fontId="21" fillId="0" borderId="0" xfId="0" applyFont="1" applyAlignment="1" applyProtection="1">
      <alignment vertical="top" wrapText="1"/>
      <protection/>
    </xf>
    <xf numFmtId="0" fontId="0" fillId="0" borderId="0" xfId="0" applyFont="1" applyAlignment="1" applyProtection="1">
      <alignment horizontal="center"/>
      <protection/>
    </xf>
    <xf numFmtId="0" fontId="0" fillId="0" borderId="10" xfId="0" applyFont="1" applyBorder="1" applyAlignment="1" applyProtection="1">
      <alignment horizontal="left" vertical="center" wrapText="1"/>
      <protection/>
    </xf>
    <xf numFmtId="0" fontId="5" fillId="33" borderId="19" xfId="0" applyFont="1" applyFill="1" applyBorder="1" applyAlignment="1">
      <alignment horizontal="center" vertical="center" wrapText="1"/>
    </xf>
    <xf numFmtId="0" fontId="0" fillId="33" borderId="10" xfId="0" applyFont="1" applyFill="1" applyBorder="1" applyAlignment="1">
      <alignment horizontal="left" vertical="center"/>
    </xf>
    <xf numFmtId="0" fontId="0" fillId="33" borderId="10" xfId="0" applyFont="1" applyFill="1" applyBorder="1" applyAlignment="1">
      <alignment vertical="center"/>
    </xf>
    <xf numFmtId="0" fontId="0" fillId="33" borderId="30" xfId="0" applyFont="1" applyFill="1" applyBorder="1" applyAlignment="1">
      <alignment vertical="center"/>
    </xf>
    <xf numFmtId="2" fontId="0" fillId="35" borderId="40"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0" borderId="15" xfId="0" applyFont="1" applyBorder="1" applyAlignment="1" applyProtection="1">
      <alignment vertical="center" wrapText="1"/>
      <protection/>
    </xf>
    <xf numFmtId="0" fontId="0"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5" fillId="0" borderId="20" xfId="0" applyFont="1" applyBorder="1" applyAlignment="1" applyProtection="1">
      <alignment horizontal="left" vertical="center"/>
      <protection/>
    </xf>
    <xf numFmtId="0" fontId="0" fillId="0" borderId="19" xfId="0" applyFont="1" applyFill="1" applyBorder="1" applyAlignment="1" applyProtection="1">
      <alignment horizontal="center" vertical="center"/>
      <protection/>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protection/>
    </xf>
    <xf numFmtId="0" fontId="5" fillId="0" borderId="10" xfId="0" applyFont="1" applyFill="1" applyBorder="1" applyAlignment="1" applyProtection="1">
      <alignment vertical="center" wrapText="1"/>
      <protection/>
    </xf>
    <xf numFmtId="0" fontId="0" fillId="33" borderId="10"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34" borderId="10" xfId="0" applyFont="1" applyFill="1" applyBorder="1" applyAlignment="1" applyProtection="1">
      <alignment horizontal="center" vertical="center" wrapText="1"/>
      <protection/>
    </xf>
    <xf numFmtId="0" fontId="0" fillId="0" borderId="15" xfId="0" applyFont="1" applyBorder="1" applyAlignment="1" applyProtection="1">
      <alignment vertical="center"/>
      <protection/>
    </xf>
    <xf numFmtId="0" fontId="17" fillId="33" borderId="20" xfId="0" applyFont="1" applyFill="1" applyBorder="1" applyAlignment="1" applyProtection="1">
      <alignment horizontal="center" vertical="center"/>
      <protection/>
    </xf>
    <xf numFmtId="0" fontId="17" fillId="33" borderId="10" xfId="0" applyFont="1" applyFill="1" applyBorder="1" applyAlignment="1" applyProtection="1">
      <alignment vertical="center" wrapText="1"/>
      <protection/>
    </xf>
    <xf numFmtId="0" fontId="17" fillId="0" borderId="10" xfId="0" applyFont="1" applyFill="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0" fillId="0" borderId="38" xfId="0" applyFont="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15" xfId="0" applyFont="1" applyFill="1" applyBorder="1" applyAlignment="1" applyProtection="1">
      <alignment vertical="center"/>
      <protection/>
    </xf>
    <xf numFmtId="0" fontId="5" fillId="34" borderId="15"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0" fontId="5" fillId="34" borderId="11"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protection/>
    </xf>
    <xf numFmtId="0" fontId="5" fillId="37" borderId="10" xfId="0" applyFont="1" applyFill="1" applyBorder="1" applyAlignment="1" applyProtection="1">
      <alignment vertical="center" wrapText="1"/>
      <protection/>
    </xf>
    <xf numFmtId="0" fontId="5" fillId="37" borderId="10" xfId="0" applyFont="1" applyFill="1" applyBorder="1" applyAlignment="1" applyProtection="1">
      <alignment horizontal="center" vertical="center" wrapText="1"/>
      <protection/>
    </xf>
    <xf numFmtId="0" fontId="0" fillId="37" borderId="10" xfId="0" applyFont="1" applyFill="1" applyBorder="1" applyAlignment="1" applyProtection="1">
      <alignment horizontal="center" vertical="center"/>
      <protection/>
    </xf>
    <xf numFmtId="0" fontId="20" fillId="0" borderId="10" xfId="0" applyFont="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17" fillId="33" borderId="15" xfId="0" applyFont="1" applyFill="1" applyBorder="1" applyAlignment="1" applyProtection="1">
      <alignment vertical="center" wrapText="1"/>
      <protection/>
    </xf>
    <xf numFmtId="0" fontId="5" fillId="33" borderId="26" xfId="0" applyFont="1" applyFill="1" applyBorder="1" applyAlignment="1" applyProtection="1">
      <alignment horizontal="center" vertical="center"/>
      <protection/>
    </xf>
    <xf numFmtId="0" fontId="5" fillId="33" borderId="15" xfId="0" applyFont="1" applyFill="1" applyBorder="1" applyAlignment="1" applyProtection="1">
      <alignment vertical="center" wrapText="1"/>
      <protection/>
    </xf>
    <xf numFmtId="0" fontId="5" fillId="33" borderId="15"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protection/>
    </xf>
    <xf numFmtId="0" fontId="17" fillId="0" borderId="20" xfId="0" applyFont="1" applyBorder="1" applyAlignment="1" applyProtection="1">
      <alignment horizontal="center" vertical="center"/>
      <protection/>
    </xf>
    <xf numFmtId="0" fontId="17" fillId="0" borderId="10" xfId="0" applyFont="1" applyBorder="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15"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0" fillId="34" borderId="10" xfId="0" applyFont="1" applyFill="1" applyBorder="1" applyAlignment="1" applyProtection="1">
      <alignment vertical="center" wrapText="1"/>
      <protection/>
    </xf>
    <xf numFmtId="0" fontId="17"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11" xfId="0" applyFont="1" applyFill="1" applyBorder="1" applyAlignment="1" applyProtection="1">
      <alignment vertical="center"/>
      <protection/>
    </xf>
    <xf numFmtId="0" fontId="5"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0" xfId="0" applyFont="1" applyFill="1" applyBorder="1" applyAlignment="1" applyProtection="1">
      <alignment vertical="center" wrapText="1"/>
      <protection/>
    </xf>
    <xf numFmtId="0" fontId="5" fillId="33" borderId="40" xfId="0" applyFont="1" applyFill="1" applyBorder="1" applyAlignment="1" applyProtection="1">
      <alignment horizontal="center" vertical="center" wrapText="1"/>
      <protection/>
    </xf>
    <xf numFmtId="0" fontId="5" fillId="33" borderId="40"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vertical="center" wrapText="1"/>
      <protection/>
    </xf>
    <xf numFmtId="0" fontId="0" fillId="36" borderId="18"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0" fontId="0" fillId="0" borderId="18" xfId="0" applyFont="1" applyFill="1" applyBorder="1" applyAlignment="1" applyProtection="1">
      <alignment horizontal="center" vertical="center"/>
      <protection/>
    </xf>
    <xf numFmtId="0" fontId="5" fillId="0" borderId="44" xfId="0" applyFont="1" applyBorder="1" applyAlignment="1" applyProtection="1">
      <alignment horizontal="left" vertical="center"/>
      <protection/>
    </xf>
    <xf numFmtId="0" fontId="0" fillId="35" borderId="18" xfId="0" applyFont="1" applyFill="1" applyBorder="1" applyAlignment="1" applyProtection="1">
      <alignment horizontal="center" vertical="center"/>
      <protection/>
    </xf>
    <xf numFmtId="0" fontId="0" fillId="34" borderId="44" xfId="0" applyFont="1" applyFill="1" applyBorder="1" applyAlignment="1" applyProtection="1">
      <alignment vertical="center" wrapText="1"/>
      <protection/>
    </xf>
    <xf numFmtId="0" fontId="0" fillId="38" borderId="18"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34" borderId="39" xfId="0" applyFont="1" applyFill="1" applyBorder="1" applyAlignment="1" applyProtection="1">
      <alignment vertical="center" wrapText="1"/>
      <protection/>
    </xf>
    <xf numFmtId="0" fontId="0" fillId="38" borderId="10" xfId="0" applyFont="1" applyFill="1" applyBorder="1" applyAlignment="1" applyProtection="1">
      <alignment horizontal="center" vertical="center" wrapText="1"/>
      <protection/>
    </xf>
    <xf numFmtId="0" fontId="5" fillId="35" borderId="36" xfId="0" applyFont="1" applyFill="1" applyBorder="1" applyAlignment="1" applyProtection="1">
      <alignment horizontal="center" vertical="center"/>
      <protection/>
    </xf>
    <xf numFmtId="0" fontId="5" fillId="35" borderId="32" xfId="0" applyFont="1" applyFill="1" applyBorder="1" applyAlignment="1" applyProtection="1">
      <alignment horizontal="center" vertical="center"/>
      <protection/>
    </xf>
    <xf numFmtId="2" fontId="5" fillId="35" borderId="10" xfId="0" applyNumberFormat="1" applyFont="1" applyFill="1" applyBorder="1" applyAlignment="1" applyProtection="1">
      <alignment horizontal="center" vertical="center"/>
      <protection/>
    </xf>
    <xf numFmtId="2" fontId="0" fillId="35" borderId="10" xfId="0" applyNumberFormat="1" applyFont="1" applyFill="1" applyBorder="1" applyAlignment="1" applyProtection="1">
      <alignment horizontal="center" vertical="center"/>
      <protection/>
    </xf>
    <xf numFmtId="2" fontId="0" fillId="38" borderId="11" xfId="0" applyNumberFormat="1" applyFont="1" applyFill="1" applyBorder="1" applyAlignment="1" applyProtection="1">
      <alignment horizontal="center" vertical="center"/>
      <protection locked="0"/>
    </xf>
    <xf numFmtId="2" fontId="0" fillId="38" borderId="10" xfId="0" applyNumberFormat="1"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wrapText="1"/>
      <protection/>
    </xf>
    <xf numFmtId="2" fontId="5" fillId="33" borderId="10" xfId="0" applyNumberFormat="1" applyFont="1" applyFill="1" applyBorder="1" applyAlignment="1" applyProtection="1">
      <alignment vertical="center" wrapText="1"/>
      <protection/>
    </xf>
    <xf numFmtId="0" fontId="5" fillId="35" borderId="21" xfId="0" applyFont="1" applyFill="1" applyBorder="1" applyAlignment="1" applyProtection="1">
      <alignment horizontal="center" vertical="center"/>
      <protection/>
    </xf>
    <xf numFmtId="0" fontId="5" fillId="35" borderId="21" xfId="0" applyFont="1" applyFill="1" applyBorder="1" applyAlignment="1" applyProtection="1">
      <alignment vertical="center"/>
      <protection/>
    </xf>
    <xf numFmtId="2" fontId="5" fillId="35" borderId="21" xfId="0" applyNumberFormat="1" applyFont="1" applyFill="1" applyBorder="1" applyAlignment="1" applyProtection="1">
      <alignment horizontal="center" vertical="center"/>
      <protection/>
    </xf>
    <xf numFmtId="0" fontId="0" fillId="34" borderId="17" xfId="0" applyFont="1" applyFill="1" applyBorder="1" applyAlignment="1" applyProtection="1">
      <alignment vertical="center" wrapText="1"/>
      <protection locked="0"/>
    </xf>
    <xf numFmtId="0" fontId="0" fillId="0" borderId="19" xfId="0" applyFont="1" applyBorder="1" applyAlignment="1" applyProtection="1">
      <alignment horizontal="center" vertical="center"/>
      <protection/>
    </xf>
    <xf numFmtId="0" fontId="5" fillId="34" borderId="4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17" fillId="33" borderId="19" xfId="0" applyFont="1" applyFill="1" applyBorder="1" applyAlignment="1" applyProtection="1">
      <alignment horizontal="center" vertical="center" wrapText="1"/>
      <protection/>
    </xf>
    <xf numFmtId="0" fontId="5" fillId="33" borderId="46"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5" borderId="19" xfId="0" applyFont="1" applyFill="1" applyBorder="1" applyAlignment="1" applyProtection="1">
      <alignment horizontal="center" vertical="center" wrapText="1"/>
      <protection/>
    </xf>
    <xf numFmtId="0" fontId="5" fillId="35" borderId="41" xfId="0" applyFont="1" applyFill="1" applyBorder="1" applyAlignment="1" applyProtection="1">
      <alignment horizontal="center" vertical="center" wrapText="1"/>
      <protection/>
    </xf>
    <xf numFmtId="0" fontId="5" fillId="33" borderId="24" xfId="0" applyFont="1" applyFill="1" applyBorder="1" applyAlignment="1" applyProtection="1">
      <alignment vertical="center" wrapText="1"/>
      <protection locked="0"/>
    </xf>
    <xf numFmtId="0" fontId="0" fillId="0" borderId="19"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vertical="center" wrapText="1"/>
      <protection/>
    </xf>
    <xf numFmtId="0" fontId="5" fillId="33" borderId="30" xfId="0" applyFont="1" applyFill="1" applyBorder="1" applyAlignment="1" applyProtection="1">
      <alignment horizontal="center" vertical="center" wrapText="1"/>
      <protection/>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0" xfId="0" applyAlignment="1">
      <alignment vertical="center"/>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10" fillId="0" borderId="19" xfId="0" applyFont="1" applyFill="1" applyBorder="1" applyAlignment="1" applyProtection="1">
      <alignment horizontal="center" vertical="center" wrapText="1"/>
      <protection/>
    </xf>
    <xf numFmtId="185" fontId="10" fillId="0" borderId="24" xfId="0"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185" fontId="9" fillId="0" borderId="24" xfId="0" applyNumberFormat="1"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185" fontId="10" fillId="35" borderId="24" xfId="0" applyNumberFormat="1"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5" fillId="33" borderId="10" xfId="0" applyFont="1" applyFill="1" applyBorder="1" applyAlignment="1" applyProtection="1">
      <alignment horizontal="left" vertical="center"/>
      <protection/>
    </xf>
    <xf numFmtId="0" fontId="0" fillId="0" borderId="10" xfId="0" applyFont="1" applyBorder="1" applyAlignment="1" applyProtection="1">
      <alignment horizontal="left" vertical="center"/>
      <protection/>
    </xf>
    <xf numFmtId="2" fontId="0" fillId="0" borderId="11" xfId="0" applyNumberFormat="1" applyFont="1" applyBorder="1" applyAlignment="1" applyProtection="1">
      <alignment horizontal="center" vertical="center"/>
      <protection/>
    </xf>
    <xf numFmtId="0" fontId="0" fillId="34" borderId="11" xfId="0" applyFont="1" applyFill="1" applyBorder="1" applyAlignment="1" applyProtection="1">
      <alignment vertical="center" wrapText="1"/>
      <protection/>
    </xf>
    <xf numFmtId="0" fontId="0" fillId="0" borderId="15" xfId="0" applyFont="1" applyBorder="1" applyAlignment="1" applyProtection="1">
      <alignment horizontal="left" vertical="center"/>
      <protection/>
    </xf>
    <xf numFmtId="2" fontId="0" fillId="0" borderId="15" xfId="0" applyNumberFormat="1" applyFont="1" applyBorder="1" applyAlignment="1" applyProtection="1">
      <alignment horizontal="center" vertical="center"/>
      <protection/>
    </xf>
    <xf numFmtId="0" fontId="0" fillId="0" borderId="10" xfId="0" applyFont="1" applyBorder="1" applyAlignment="1" applyProtection="1" quotePrefix="1">
      <alignment horizontal="left" vertical="center" wrapText="1"/>
      <protection/>
    </xf>
    <xf numFmtId="0" fontId="5" fillId="33" borderId="10"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protection/>
    </xf>
    <xf numFmtId="2" fontId="5" fillId="33" borderId="10" xfId="0" applyNumberFormat="1" applyFont="1" applyFill="1" applyBorder="1" applyAlignment="1" applyProtection="1">
      <alignment horizontal="center" vertical="center"/>
      <protection/>
    </xf>
    <xf numFmtId="1" fontId="0" fillId="0" borderId="10" xfId="0" applyNumberFormat="1" applyFont="1" applyBorder="1" applyAlignment="1" applyProtection="1">
      <alignment vertical="center"/>
      <protection/>
    </xf>
    <xf numFmtId="2" fontId="0" fillId="0" borderId="10" xfId="0" applyNumberFormat="1" applyFont="1" applyBorder="1" applyAlignment="1" applyProtection="1">
      <alignment vertical="center"/>
      <protection/>
    </xf>
    <xf numFmtId="0" fontId="5" fillId="33" borderId="10" xfId="0" applyFont="1" applyFill="1" applyBorder="1" applyAlignment="1" applyProtection="1">
      <alignment vertical="center"/>
      <protection/>
    </xf>
    <xf numFmtId="1" fontId="5" fillId="33"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vertical="center"/>
      <protection/>
    </xf>
    <xf numFmtId="2" fontId="5" fillId="33" borderId="38" xfId="0" applyNumberFormat="1" applyFont="1" applyFill="1" applyBorder="1" applyAlignment="1" applyProtection="1">
      <alignment horizontal="center" vertical="center"/>
      <protection/>
    </xf>
    <xf numFmtId="2" fontId="5" fillId="33" borderId="37" xfId="0" applyNumberFormat="1" applyFont="1" applyFill="1" applyBorder="1" applyAlignment="1" applyProtection="1">
      <alignment vertical="center"/>
      <protection/>
    </xf>
    <xf numFmtId="2" fontId="5" fillId="33" borderId="12" xfId="0" applyNumberFormat="1" applyFont="1" applyFill="1" applyBorder="1" applyAlignment="1" applyProtection="1">
      <alignment vertical="center"/>
      <protection/>
    </xf>
    <xf numFmtId="0" fontId="24" fillId="0" borderId="0" xfId="0" applyFont="1" applyAlignment="1" applyProtection="1">
      <alignment horizontal="center" vertical="center"/>
      <protection/>
    </xf>
    <xf numFmtId="0" fontId="24" fillId="0" borderId="0" xfId="0" applyFont="1" applyAlignment="1" applyProtection="1">
      <alignment vertical="center"/>
      <protection/>
    </xf>
    <xf numFmtId="0" fontId="0" fillId="0" borderId="0" xfId="0" applyAlignment="1" applyProtection="1" quotePrefix="1">
      <alignment horizontal="center" vertical="center"/>
      <protection/>
    </xf>
    <xf numFmtId="0" fontId="0" fillId="0" borderId="0" xfId="0" applyAlignment="1" applyProtection="1">
      <alignment/>
      <protection/>
    </xf>
    <xf numFmtId="0" fontId="0" fillId="0" borderId="37" xfId="0" applyFont="1" applyBorder="1" applyAlignment="1">
      <alignment horizontal="center" vertical="center"/>
    </xf>
    <xf numFmtId="2" fontId="5" fillId="33" borderId="10" xfId="0" applyNumberFormat="1" applyFont="1" applyFill="1" applyBorder="1" applyAlignment="1" applyProtection="1">
      <alignment horizontal="center" vertical="center" wrapText="1"/>
      <protection/>
    </xf>
    <xf numFmtId="2" fontId="5" fillId="33" borderId="10" xfId="0" applyNumberFormat="1" applyFont="1" applyFill="1" applyBorder="1" applyAlignment="1">
      <alignment vertical="center" wrapText="1"/>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0" fillId="0" borderId="13" xfId="0" applyFont="1" applyFill="1" applyBorder="1" applyAlignment="1" applyProtection="1">
      <alignment horizontal="center" vertical="center"/>
      <protection locked="0"/>
    </xf>
    <xf numFmtId="0" fontId="0" fillId="0" borderId="22" xfId="0" applyFont="1" applyFill="1" applyBorder="1" applyAlignment="1" applyProtection="1">
      <alignment vertical="center" wrapText="1"/>
      <protection locked="0"/>
    </xf>
    <xf numFmtId="0" fontId="0" fillId="0" borderId="22" xfId="0" applyFont="1" applyFill="1" applyBorder="1" applyAlignment="1" applyProtection="1">
      <alignment horizontal="center" vertical="center" wrapText="1"/>
      <protection locked="0"/>
    </xf>
    <xf numFmtId="2" fontId="0" fillId="0" borderId="22"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xf>
    <xf numFmtId="2" fontId="5" fillId="37" borderId="35" xfId="0" applyNumberFormat="1" applyFont="1" applyFill="1" applyBorder="1" applyAlignment="1" applyProtection="1">
      <alignment horizontal="center" vertical="center" wrapText="1"/>
      <protection/>
    </xf>
    <xf numFmtId="2" fontId="5" fillId="33" borderId="24"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2" fontId="5" fillId="35" borderId="14" xfId="0" applyNumberFormat="1" applyFont="1" applyFill="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center" vertical="center" wrapText="1"/>
      <protection locked="0"/>
    </xf>
    <xf numFmtId="0" fontId="5" fillId="35" borderId="47"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3" borderId="35" xfId="0" applyFont="1" applyFill="1" applyBorder="1" applyAlignment="1" applyProtection="1">
      <alignment horizontal="center" vertical="center" wrapText="1"/>
      <protection locked="0"/>
    </xf>
    <xf numFmtId="2" fontId="5" fillId="35" borderId="47" xfId="0" applyNumberFormat="1" applyFont="1" applyFill="1" applyBorder="1" applyAlignment="1" applyProtection="1">
      <alignment horizontal="center" vertical="center"/>
      <protection/>
    </xf>
    <xf numFmtId="0" fontId="0" fillId="33" borderId="24" xfId="0" applyFont="1" applyFill="1" applyBorder="1" applyAlignment="1" applyProtection="1">
      <alignment horizontal="center" vertical="center" wrapText="1"/>
      <protection locked="0"/>
    </xf>
    <xf numFmtId="0" fontId="5" fillId="34" borderId="17" xfId="0" applyFont="1" applyFill="1" applyBorder="1" applyAlignment="1" applyProtection="1">
      <alignment horizontal="center" vertical="center"/>
      <protection locked="0"/>
    </xf>
    <xf numFmtId="2" fontId="5" fillId="0" borderId="17" xfId="0" applyNumberFormat="1" applyFont="1" applyFill="1" applyBorder="1" applyAlignment="1" applyProtection="1">
      <alignment horizontal="center" vertical="center"/>
      <protection/>
    </xf>
    <xf numFmtId="2" fontId="5" fillId="33" borderId="48" xfId="0" applyNumberFormat="1" applyFont="1" applyFill="1" applyBorder="1" applyAlignment="1" applyProtection="1">
      <alignment horizontal="center" vertical="center"/>
      <protection locked="0"/>
    </xf>
    <xf numFmtId="0" fontId="5" fillId="33" borderId="35" xfId="0" applyFont="1" applyFill="1" applyBorder="1" applyAlignment="1" applyProtection="1">
      <alignment vertical="center" wrapText="1"/>
      <protection locked="0"/>
    </xf>
    <xf numFmtId="2" fontId="0" fillId="0" borderId="24" xfId="0" applyNumberFormat="1" applyFont="1" applyFill="1" applyBorder="1" applyAlignment="1" applyProtection="1">
      <alignment horizontal="center" vertical="center"/>
      <protection locked="0"/>
    </xf>
    <xf numFmtId="2" fontId="0" fillId="33" borderId="24" xfId="0" applyNumberFormat="1" applyFont="1" applyFill="1" applyBorder="1" applyAlignment="1" applyProtection="1">
      <alignment horizontal="center" vertical="center"/>
      <protection locked="0"/>
    </xf>
    <xf numFmtId="2" fontId="0" fillId="33" borderId="46" xfId="0" applyNumberFormat="1" applyFont="1" applyFill="1" applyBorder="1" applyAlignment="1" applyProtection="1">
      <alignment horizontal="center" vertical="center"/>
      <protection locked="0"/>
    </xf>
    <xf numFmtId="2" fontId="5" fillId="0" borderId="24" xfId="0" applyNumberFormat="1" applyFont="1" applyFill="1" applyBorder="1" applyAlignment="1" applyProtection="1">
      <alignment horizontal="center" vertical="center"/>
      <protection locked="0"/>
    </xf>
    <xf numFmtId="2" fontId="5" fillId="33" borderId="24" xfId="0" applyNumberFormat="1" applyFont="1" applyFill="1" applyBorder="1" applyAlignment="1" applyProtection="1">
      <alignment horizontal="center" vertical="center"/>
      <protection locked="0"/>
    </xf>
    <xf numFmtId="0" fontId="0" fillId="33" borderId="49" xfId="0"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34" borderId="10" xfId="0" applyFont="1" applyFill="1" applyBorder="1" applyAlignment="1" applyProtection="1">
      <alignment horizontal="left" vertical="center" wrapText="1"/>
      <protection/>
    </xf>
    <xf numFmtId="2" fontId="1" fillId="0" borderId="24" xfId="0" applyNumberFormat="1"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2" fontId="0" fillId="0" borderId="24" xfId="0" applyNumberFormat="1" applyFont="1" applyBorder="1" applyAlignment="1" applyProtection="1">
      <alignment horizontal="center" vertical="center"/>
      <protection/>
    </xf>
    <xf numFmtId="2" fontId="9" fillId="34" borderId="24" xfId="0" applyNumberFormat="1" applyFont="1" applyFill="1" applyBorder="1" applyAlignment="1" applyProtection="1">
      <alignment horizontal="center" wrapText="1"/>
      <protection/>
    </xf>
    <xf numFmtId="0" fontId="0" fillId="34" borderId="24" xfId="0" applyFont="1" applyFill="1" applyBorder="1" applyAlignment="1" applyProtection="1">
      <alignment horizontal="center"/>
      <protection/>
    </xf>
    <xf numFmtId="184" fontId="0" fillId="34" borderId="24" xfId="0" applyNumberFormat="1" applyFont="1" applyFill="1" applyBorder="1" applyAlignment="1" applyProtection="1">
      <alignment horizontal="center"/>
      <protection/>
    </xf>
    <xf numFmtId="184" fontId="10" fillId="34" borderId="24" xfId="0" applyNumberFormat="1" applyFont="1" applyFill="1" applyBorder="1" applyAlignment="1" applyProtection="1">
      <alignment horizontal="center" vertical="center"/>
      <protection/>
    </xf>
    <xf numFmtId="0" fontId="10" fillId="34" borderId="24" xfId="0" applyFont="1" applyFill="1" applyBorder="1" applyAlignment="1" applyProtection="1">
      <alignment horizontal="center" vertical="center" wrapText="1"/>
      <protection/>
    </xf>
    <xf numFmtId="2" fontId="10" fillId="34" borderId="24" xfId="0" applyNumberFormat="1" applyFont="1" applyFill="1" applyBorder="1" applyAlignment="1" applyProtection="1">
      <alignment horizontal="center" vertical="center"/>
      <protection/>
    </xf>
    <xf numFmtId="0" fontId="10" fillId="34" borderId="24" xfId="0" applyFont="1" applyFill="1" applyBorder="1" applyAlignment="1" applyProtection="1">
      <alignment horizontal="center" vertical="center"/>
      <protection/>
    </xf>
    <xf numFmtId="2" fontId="5" fillId="34" borderId="24" xfId="0" applyNumberFormat="1" applyFont="1" applyFill="1" applyBorder="1" applyAlignment="1" applyProtection="1">
      <alignment horizontal="center" vertical="center"/>
      <protection/>
    </xf>
    <xf numFmtId="2" fontId="5" fillId="34" borderId="46" xfId="0" applyNumberFormat="1" applyFont="1" applyFill="1" applyBorder="1" applyAlignment="1" applyProtection="1">
      <alignment horizontal="center" vertical="center"/>
      <protection/>
    </xf>
    <xf numFmtId="2" fontId="10" fillId="34" borderId="46" xfId="0" applyNumberFormat="1" applyFont="1" applyFill="1" applyBorder="1" applyAlignment="1" applyProtection="1">
      <alignment horizontal="center" vertical="center"/>
      <protection/>
    </xf>
    <xf numFmtId="0" fontId="5" fillId="0" borderId="49" xfId="0" applyFont="1" applyBorder="1" applyAlignment="1" applyProtection="1">
      <alignment horizontal="center" vertical="top" wrapText="1"/>
      <protection/>
    </xf>
    <xf numFmtId="0" fontId="0" fillId="0" borderId="49" xfId="0" applyFont="1" applyBorder="1" applyAlignment="1" applyProtection="1">
      <alignment horizontal="center" vertical="center" wrapText="1"/>
      <protection locked="0"/>
    </xf>
    <xf numFmtId="0" fontId="5" fillId="35" borderId="16" xfId="0" applyFont="1" applyFill="1" applyBorder="1" applyAlignment="1" applyProtection="1">
      <alignment vertical="center" wrapText="1"/>
      <protection/>
    </xf>
    <xf numFmtId="0" fontId="5" fillId="35" borderId="13" xfId="0" applyFont="1" applyFill="1" applyBorder="1" applyAlignment="1" applyProtection="1">
      <alignment horizontal="left" vertical="center" wrapText="1"/>
      <protection/>
    </xf>
    <xf numFmtId="0" fontId="5" fillId="0" borderId="10" xfId="0" applyFont="1" applyBorder="1" applyAlignment="1" applyProtection="1">
      <alignment horizontal="center" vertical="center"/>
      <protection/>
    </xf>
    <xf numFmtId="0" fontId="1" fillId="36" borderId="24" xfId="0" applyFont="1" applyFill="1" applyBorder="1" applyAlignment="1" applyProtection="1">
      <alignment horizontal="center" vertical="center"/>
      <protection/>
    </xf>
    <xf numFmtId="2" fontId="0" fillId="36" borderId="10" xfId="0" applyNumberFormat="1" applyFont="1" applyFill="1" applyBorder="1" applyAlignment="1">
      <alignment horizontal="center" vertical="center" wrapText="1"/>
    </xf>
    <xf numFmtId="2" fontId="9" fillId="36" borderId="24" xfId="0" applyNumberFormat="1"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locked="0"/>
    </xf>
    <xf numFmtId="0" fontId="0" fillId="0" borderId="0" xfId="0" applyFont="1" applyFill="1" applyAlignment="1">
      <alignment/>
    </xf>
    <xf numFmtId="0" fontId="5" fillId="0" borderId="10" xfId="0" applyFont="1" applyBorder="1" applyAlignment="1" applyProtection="1">
      <alignment horizontal="left" vertical="top" wrapText="1"/>
      <protection/>
    </xf>
    <xf numFmtId="0" fontId="23" fillId="0" borderId="10" xfId="0" applyFont="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16" fillId="37" borderId="10" xfId="0" applyFont="1" applyFill="1" applyBorder="1" applyAlignment="1" applyProtection="1">
      <alignment horizontal="left" vertical="center" wrapText="1"/>
      <protection/>
    </xf>
    <xf numFmtId="0" fontId="5" fillId="0" borderId="31"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horizontal="center" vertical="center"/>
      <protection locked="0"/>
    </xf>
    <xf numFmtId="0" fontId="5" fillId="0" borderId="41" xfId="0"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locked="0"/>
    </xf>
    <xf numFmtId="0" fontId="5" fillId="0" borderId="0" xfId="0" applyFont="1" applyFill="1" applyAlignment="1">
      <alignment/>
    </xf>
    <xf numFmtId="0" fontId="0" fillId="0" borderId="12" xfId="0" applyFont="1" applyBorder="1" applyAlignment="1">
      <alignment horizontal="center" vertical="center"/>
    </xf>
    <xf numFmtId="2" fontId="10" fillId="36" borderId="11" xfId="0" applyNumberFormat="1" applyFont="1" applyFill="1" applyBorder="1" applyAlignment="1" applyProtection="1">
      <alignment horizontal="center" vertical="center" wrapText="1"/>
      <protection/>
    </xf>
    <xf numFmtId="0" fontId="10" fillId="36" borderId="10" xfId="0" applyFont="1" applyFill="1" applyBorder="1" applyAlignment="1" applyProtection="1">
      <alignment vertical="center" wrapText="1"/>
      <protection/>
    </xf>
    <xf numFmtId="0" fontId="10" fillId="36" borderId="10" xfId="0" applyFont="1" applyFill="1" applyBorder="1" applyAlignment="1" applyProtection="1">
      <alignment horizontal="left" vertical="center" wrapText="1"/>
      <protection/>
    </xf>
    <xf numFmtId="2" fontId="10" fillId="36" borderId="28" xfId="0" applyNumberFormat="1"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2" fontId="10" fillId="36"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protection/>
    </xf>
    <xf numFmtId="0" fontId="0" fillId="0" borderId="21" xfId="0" applyFont="1" applyFill="1" applyBorder="1" applyAlignment="1" applyProtection="1">
      <alignment horizontal="center" vertical="center"/>
      <protection/>
    </xf>
    <xf numFmtId="0" fontId="0" fillId="0" borderId="40" xfId="0" applyFont="1" applyFill="1" applyBorder="1" applyAlignment="1" applyProtection="1">
      <alignment vertical="center" wrapText="1"/>
      <protection/>
    </xf>
    <xf numFmtId="0" fontId="0" fillId="0" borderId="40" xfId="0" applyFont="1" applyFill="1" applyBorder="1" applyAlignment="1" applyProtection="1">
      <alignment horizontal="center" vertical="center" wrapText="1"/>
      <protection/>
    </xf>
    <xf numFmtId="2" fontId="0" fillId="0" borderId="40" xfId="0" applyNumberFormat="1" applyFont="1" applyFill="1" applyBorder="1" applyAlignment="1" applyProtection="1">
      <alignment horizontal="center" vertical="center"/>
      <protection/>
    </xf>
    <xf numFmtId="0" fontId="5" fillId="0" borderId="0" xfId="0" applyFont="1" applyAlignment="1">
      <alignment/>
    </xf>
    <xf numFmtId="0" fontId="5" fillId="0" borderId="11" xfId="0" applyFont="1" applyBorder="1" applyAlignment="1" applyProtection="1">
      <alignment horizontal="center" vertical="center" wrapText="1"/>
      <protection/>
    </xf>
    <xf numFmtId="0" fontId="0" fillId="0" borderId="0" xfId="0" applyFont="1" applyAlignment="1">
      <alignment horizontal="center" vertical="center" wrapText="1"/>
    </xf>
    <xf numFmtId="2" fontId="0" fillId="35" borderId="10" xfId="0" applyNumberFormat="1" applyFont="1" applyFill="1" applyBorder="1" applyAlignment="1" applyProtection="1">
      <alignment horizontal="left" vertical="center" wrapText="1"/>
      <protection/>
    </xf>
    <xf numFmtId="0" fontId="5" fillId="35" borderId="50" xfId="0" applyFont="1" applyFill="1" applyBorder="1" applyAlignment="1" applyProtection="1">
      <alignment horizontal="center" vertical="center"/>
      <protection/>
    </xf>
    <xf numFmtId="0" fontId="5" fillId="35" borderId="50" xfId="0" applyFont="1" applyFill="1" applyBorder="1" applyAlignment="1" applyProtection="1">
      <alignment horizontal="left" vertical="center"/>
      <protection/>
    </xf>
    <xf numFmtId="0" fontId="5" fillId="35" borderId="50" xfId="0" applyFont="1" applyFill="1" applyBorder="1" applyAlignment="1" applyProtection="1">
      <alignment horizontal="center" vertical="center" wrapText="1"/>
      <protection/>
    </xf>
    <xf numFmtId="2" fontId="5" fillId="35" borderId="50" xfId="0" applyNumberFormat="1" applyFont="1" applyFill="1" applyBorder="1" applyAlignment="1" applyProtection="1">
      <alignment horizontal="center" vertical="center"/>
      <protection/>
    </xf>
    <xf numFmtId="0" fontId="5" fillId="35" borderId="43" xfId="0" applyFont="1" applyFill="1" applyBorder="1" applyAlignment="1" applyProtection="1">
      <alignment horizontal="center" vertical="center"/>
      <protection/>
    </xf>
    <xf numFmtId="0" fontId="0" fillId="0" borderId="10" xfId="0" applyFont="1" applyBorder="1" applyAlignment="1">
      <alignment horizontal="left" vertical="center"/>
    </xf>
    <xf numFmtId="1" fontId="0" fillId="33" borderId="10" xfId="0" applyNumberFormat="1" applyFont="1" applyFill="1" applyBorder="1" applyAlignment="1">
      <alignment horizontal="center" vertical="center"/>
    </xf>
    <xf numFmtId="0" fontId="9" fillId="33" borderId="10" xfId="0" applyFont="1" applyFill="1" applyBorder="1" applyAlignment="1" applyProtection="1">
      <alignment horizontal="left" vertical="center" wrapText="1"/>
      <protection/>
    </xf>
    <xf numFmtId="2" fontId="0" fillId="33" borderId="10" xfId="0" applyNumberFormat="1" applyFont="1" applyFill="1" applyBorder="1" applyAlignment="1">
      <alignment horizontal="left" vertical="center"/>
    </xf>
    <xf numFmtId="2" fontId="0" fillId="33" borderId="10" xfId="0" applyNumberFormat="1" applyFont="1" applyFill="1" applyBorder="1" applyAlignment="1">
      <alignment horizontal="center" vertical="center"/>
    </xf>
    <xf numFmtId="0" fontId="12" fillId="33" borderId="10" xfId="0" applyFont="1" applyFill="1" applyBorder="1" applyAlignment="1">
      <alignment horizontal="left" vertical="center"/>
    </xf>
    <xf numFmtId="0" fontId="12" fillId="33" borderId="10" xfId="0" applyFont="1" applyFill="1" applyBorder="1" applyAlignment="1">
      <alignment vertical="center" wrapText="1"/>
    </xf>
    <xf numFmtId="2" fontId="12" fillId="33" borderId="10" xfId="0" applyNumberFormat="1" applyFont="1" applyFill="1" applyBorder="1" applyAlignment="1">
      <alignment horizontal="center" vertical="center"/>
    </xf>
    <xf numFmtId="0" fontId="1" fillId="33" borderId="10" xfId="0" applyFont="1" applyFill="1" applyBorder="1" applyAlignment="1">
      <alignment vertical="center" wrapText="1"/>
    </xf>
    <xf numFmtId="0" fontId="0" fillId="33" borderId="0" xfId="0" applyFont="1" applyFill="1" applyAlignment="1">
      <alignment vertical="center"/>
    </xf>
    <xf numFmtId="0" fontId="0" fillId="33" borderId="10" xfId="0" applyFont="1" applyFill="1" applyBorder="1" applyAlignment="1">
      <alignment horizontal="left" vertical="center" wrapText="1"/>
    </xf>
    <xf numFmtId="2" fontId="1" fillId="33" borderId="10" xfId="60"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2" fontId="5" fillId="33"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6" fillId="0" borderId="10" xfId="0" applyFont="1" applyBorder="1" applyAlignment="1">
      <alignment vertical="center" wrapText="1"/>
    </xf>
    <xf numFmtId="0" fontId="7" fillId="0" borderId="10" xfId="0" applyFont="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5" fillId="33" borderId="27" xfId="0" applyFont="1" applyFill="1" applyBorder="1" applyAlignment="1">
      <alignment horizontal="center" vertical="center" wrapText="1"/>
    </xf>
    <xf numFmtId="2" fontId="7" fillId="0" borderId="10"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protection/>
    </xf>
    <xf numFmtId="0" fontId="5" fillId="35" borderId="16" xfId="0" applyFont="1" applyFill="1" applyBorder="1" applyAlignment="1" applyProtection="1">
      <alignment horizontal="left" vertical="center" wrapText="1"/>
      <protection/>
    </xf>
    <xf numFmtId="185" fontId="0" fillId="0" borderId="10" xfId="0" applyNumberFormat="1" applyFont="1" applyBorder="1" applyAlignment="1">
      <alignment horizontal="center" vertical="center"/>
    </xf>
    <xf numFmtId="0" fontId="0" fillId="0" borderId="10" xfId="0" applyFont="1" applyBorder="1" applyAlignment="1" quotePrefix="1">
      <alignment horizontal="left" vertical="center"/>
    </xf>
    <xf numFmtId="1" fontId="0" fillId="33" borderId="38" xfId="0" applyNumberFormat="1" applyFont="1" applyFill="1" applyBorder="1" applyAlignment="1">
      <alignment horizontal="center" vertical="center"/>
    </xf>
    <xf numFmtId="2" fontId="0" fillId="33" borderId="10" xfId="0" applyNumberFormat="1" applyFont="1" applyFill="1" applyBorder="1" applyAlignment="1">
      <alignment horizontal="left" vertical="center" wrapText="1"/>
    </xf>
    <xf numFmtId="186" fontId="0" fillId="33" borderId="10" xfId="0" applyNumberFormat="1" applyFont="1" applyFill="1" applyBorder="1" applyAlignment="1">
      <alignment horizontal="center" vertical="center"/>
    </xf>
    <xf numFmtId="2" fontId="0" fillId="33" borderId="11" xfId="0" applyNumberFormat="1" applyFont="1" applyFill="1" applyBorder="1" applyAlignment="1">
      <alignment horizontal="left" vertical="center"/>
    </xf>
    <xf numFmtId="2" fontId="5" fillId="33" borderId="10" xfId="0" applyNumberFormat="1" applyFont="1" applyFill="1" applyBorder="1" applyAlignment="1">
      <alignment horizontal="left" vertical="center"/>
    </xf>
    <xf numFmtId="0" fontId="0" fillId="0" borderId="19" xfId="0" applyFont="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protection/>
    </xf>
    <xf numFmtId="2" fontId="0" fillId="34" borderId="24" xfId="0" applyNumberFormat="1" applyFont="1" applyFill="1" applyBorder="1" applyAlignment="1" applyProtection="1">
      <alignment horizontal="center" vertical="center"/>
      <protection/>
    </xf>
    <xf numFmtId="0" fontId="10" fillId="33" borderId="26" xfId="0" applyFont="1" applyFill="1" applyBorder="1" applyAlignment="1" applyProtection="1">
      <alignment horizontal="center" vertical="center" wrapText="1"/>
      <protection/>
    </xf>
    <xf numFmtId="0" fontId="10" fillId="33" borderId="20" xfId="0" applyFont="1" applyFill="1" applyBorder="1" applyAlignment="1" applyProtection="1">
      <alignment vertical="center" wrapText="1"/>
      <protection/>
    </xf>
    <xf numFmtId="0" fontId="10" fillId="33" borderId="15" xfId="0" applyFont="1" applyFill="1" applyBorder="1" applyAlignment="1" applyProtection="1">
      <alignment horizontal="left" vertical="center" wrapText="1"/>
      <protection/>
    </xf>
    <xf numFmtId="0" fontId="10" fillId="33" borderId="15" xfId="0" applyFont="1" applyFill="1" applyBorder="1" applyAlignment="1" applyProtection="1">
      <alignment horizontal="center" vertical="center" wrapText="1"/>
      <protection/>
    </xf>
    <xf numFmtId="2" fontId="10" fillId="33" borderId="15"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vertical="center"/>
      <protection/>
    </xf>
    <xf numFmtId="0" fontId="10" fillId="34" borderId="51" xfId="0" applyFont="1" applyFill="1" applyBorder="1" applyAlignment="1" applyProtection="1">
      <alignment horizontal="center" vertical="center" wrapText="1"/>
      <protection/>
    </xf>
    <xf numFmtId="0" fontId="10" fillId="34" borderId="51" xfId="0" applyFont="1" applyFill="1" applyBorder="1" applyAlignment="1" applyProtection="1">
      <alignment horizontal="left" vertical="center" wrapText="1"/>
      <protection/>
    </xf>
    <xf numFmtId="0" fontId="10" fillId="34" borderId="0" xfId="0" applyFont="1" applyFill="1" applyBorder="1" applyAlignment="1" applyProtection="1">
      <alignment vertical="center" wrapText="1"/>
      <protection/>
    </xf>
    <xf numFmtId="0" fontId="7" fillId="33" borderId="10" xfId="0" applyFont="1" applyFill="1" applyBorder="1" applyAlignment="1">
      <alignment horizontal="center" vertical="center"/>
    </xf>
    <xf numFmtId="186" fontId="10" fillId="35" borderId="24"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84" fontId="5" fillId="35" borderId="18" xfId="0" applyNumberFormat="1"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protection/>
    </xf>
    <xf numFmtId="0" fontId="23" fillId="37" borderId="10" xfId="0" applyFont="1" applyFill="1" applyBorder="1" applyAlignment="1" applyProtection="1">
      <alignment horizontal="center" vertical="center" wrapText="1"/>
      <protection/>
    </xf>
    <xf numFmtId="0" fontId="6"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0" xfId="0" applyFont="1" applyFill="1" applyBorder="1" applyAlignment="1" quotePrefix="1">
      <alignment horizontal="center" vertical="center" wrapText="1"/>
    </xf>
    <xf numFmtId="0" fontId="15" fillId="35" borderId="13"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10" fillId="0" borderId="21" xfId="0" applyFont="1" applyFill="1" applyBorder="1" applyAlignment="1" applyProtection="1">
      <alignment vertical="center"/>
      <protection/>
    </xf>
    <xf numFmtId="0" fontId="10" fillId="0" borderId="21" xfId="0" applyFont="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2" fontId="5" fillId="33" borderId="10" xfId="0" applyNumberFormat="1"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27" fillId="0" borderId="0" xfId="0" applyFont="1" applyAlignment="1" applyProtection="1">
      <alignment horizontal="left" vertical="center"/>
      <protection/>
    </xf>
    <xf numFmtId="0" fontId="26" fillId="0" borderId="0" xfId="0" applyFont="1" applyAlignment="1" applyProtection="1">
      <alignment horizontal="left" vertical="center" wrapText="1"/>
      <protection/>
    </xf>
    <xf numFmtId="0" fontId="28" fillId="0" borderId="0" xfId="0" applyFont="1" applyAlignment="1" applyProtection="1">
      <alignment horizontal="center"/>
      <protection/>
    </xf>
    <xf numFmtId="0" fontId="28" fillId="0" borderId="0" xfId="0" applyFont="1" applyAlignment="1" applyProtection="1">
      <alignment/>
      <protection/>
    </xf>
    <xf numFmtId="0" fontId="28" fillId="0" borderId="0" xfId="0" applyFont="1" applyAlignment="1" applyProtection="1">
      <alignment horizontal="center" vertical="center"/>
      <protection/>
    </xf>
    <xf numFmtId="0" fontId="27" fillId="0" borderId="0" xfId="0" applyFont="1" applyAlignment="1" applyProtection="1">
      <alignment vertical="center"/>
      <protection/>
    </xf>
    <xf numFmtId="0" fontId="28" fillId="0" borderId="0" xfId="0" applyFont="1" applyAlignment="1" applyProtection="1">
      <alignment wrapText="1"/>
      <protection/>
    </xf>
    <xf numFmtId="0" fontId="28" fillId="0" borderId="0" xfId="0" applyFont="1" applyAlignment="1" applyProtection="1">
      <alignment/>
      <protection/>
    </xf>
    <xf numFmtId="0" fontId="27" fillId="0" borderId="0" xfId="0" applyFont="1" applyAlignment="1" applyProtection="1">
      <alignment horizontal="left" vertical="center" wrapText="1"/>
      <protection/>
    </xf>
    <xf numFmtId="0" fontId="26" fillId="0" borderId="0" xfId="0" applyFont="1" applyAlignment="1" applyProtection="1">
      <alignment horizontal="center" vertical="center" wrapText="1"/>
      <protection/>
    </xf>
    <xf numFmtId="0" fontId="28" fillId="0" borderId="0" xfId="0" applyFont="1" applyAlignment="1" applyProtection="1">
      <alignment horizontal="left" vertical="center" wrapText="1"/>
      <protection/>
    </xf>
    <xf numFmtId="0" fontId="28" fillId="0" borderId="0" xfId="0" applyFont="1" applyAlignment="1" applyProtection="1">
      <alignment horizontal="center" vertical="center" wrapText="1"/>
      <protection/>
    </xf>
    <xf numFmtId="0" fontId="28" fillId="0" borderId="0" xfId="0" applyFont="1" applyBorder="1" applyAlignment="1" applyProtection="1">
      <alignment/>
      <protection/>
    </xf>
    <xf numFmtId="0" fontId="17" fillId="33" borderId="15"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186" fontId="7" fillId="0" borderId="10" xfId="0" applyNumberFormat="1" applyFont="1" applyBorder="1" applyAlignment="1">
      <alignment horizontal="center" vertical="center" wrapText="1"/>
    </xf>
    <xf numFmtId="195" fontId="7" fillId="0" borderId="10" xfId="0" applyNumberFormat="1" applyFont="1" applyBorder="1" applyAlignment="1">
      <alignment horizontal="center" vertical="center" wrapText="1"/>
    </xf>
    <xf numFmtId="186" fontId="0" fillId="35" borderId="10" xfId="0" applyNumberFormat="1" applyFont="1" applyFill="1" applyBorder="1" applyAlignment="1" applyProtection="1">
      <alignment horizontal="center" vertical="center"/>
      <protection/>
    </xf>
    <xf numFmtId="186" fontId="10" fillId="36" borderId="10" xfId="0" applyNumberFormat="1" applyFont="1" applyFill="1" applyBorder="1" applyAlignment="1" applyProtection="1">
      <alignment horizontal="center" vertical="center" wrapText="1"/>
      <protection/>
    </xf>
    <xf numFmtId="186" fontId="10" fillId="33" borderId="11" xfId="0" applyNumberFormat="1"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0" fillId="0" borderId="2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5" fillId="33" borderId="10" xfId="0" applyFont="1" applyFill="1" applyBorder="1" applyAlignment="1" applyProtection="1">
      <alignment horizontal="center" vertical="center"/>
      <protection locked="0"/>
    </xf>
    <xf numFmtId="0" fontId="0" fillId="0" borderId="10" xfId="0" applyFont="1" applyBorder="1" applyAlignment="1">
      <alignment horizontal="left" vertical="center"/>
    </xf>
    <xf numFmtId="0" fontId="71" fillId="39" borderId="10" xfId="0" applyFont="1" applyFill="1" applyBorder="1" applyAlignment="1">
      <alignment horizontal="center" vertical="center" wrapText="1"/>
    </xf>
    <xf numFmtId="0" fontId="0" fillId="0" borderId="1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10" xfId="0" applyFill="1" applyBorder="1" applyAlignment="1" applyProtection="1">
      <alignment vertical="center" wrapText="1"/>
      <protection/>
    </xf>
    <xf numFmtId="0" fontId="0" fillId="0" borderId="12" xfId="0" applyFont="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2" fontId="0" fillId="35" borderId="53" xfId="0" applyNumberFormat="1" applyFont="1" applyFill="1" applyBorder="1" applyAlignment="1" applyProtection="1">
      <alignment horizontal="center" vertical="center"/>
      <protection/>
    </xf>
    <xf numFmtId="2" fontId="0" fillId="35" borderId="24" xfId="0" applyNumberFormat="1" applyFont="1"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Border="1" applyAlignment="1" applyProtection="1">
      <alignment vertical="center" wrapText="1"/>
      <protection/>
    </xf>
    <xf numFmtId="0" fontId="0" fillId="0" borderId="30" xfId="0"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2" fontId="0" fillId="35" borderId="49" xfId="0" applyNumberFormat="1" applyFont="1" applyFill="1" applyBorder="1" applyAlignment="1" applyProtection="1">
      <alignment horizontal="center" vertical="center"/>
      <protection/>
    </xf>
    <xf numFmtId="0" fontId="0" fillId="0" borderId="11" xfId="0" applyBorder="1" applyAlignment="1" applyProtection="1">
      <alignment vertical="center" wrapText="1"/>
      <protection/>
    </xf>
    <xf numFmtId="0" fontId="0" fillId="0" borderId="11" xfId="0" applyBorder="1" applyAlignment="1" applyProtection="1">
      <alignment horizontal="center" vertical="center" wrapText="1"/>
      <protection/>
    </xf>
    <xf numFmtId="2" fontId="0" fillId="35" borderId="46" xfId="0" applyNumberFormat="1" applyFont="1" applyFill="1" applyBorder="1" applyAlignment="1" applyProtection="1">
      <alignment horizontal="center" vertical="center"/>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horizontal="center" vertical="center" wrapText="1"/>
      <protection/>
    </xf>
    <xf numFmtId="0" fontId="0" fillId="0" borderId="54" xfId="0" applyFont="1" applyBorder="1" applyAlignment="1" applyProtection="1">
      <alignment horizontal="center" vertical="center"/>
      <protection/>
    </xf>
    <xf numFmtId="0" fontId="0" fillId="0" borderId="52" xfId="0" applyFont="1" applyBorder="1" applyAlignment="1" applyProtection="1">
      <alignment vertical="center" wrapText="1"/>
      <protection/>
    </xf>
    <xf numFmtId="0" fontId="0" fillId="0" borderId="40" xfId="0" applyFont="1" applyBorder="1" applyAlignment="1" applyProtection="1">
      <alignment horizontal="center" vertical="center" wrapText="1"/>
      <protection locked="0"/>
    </xf>
    <xf numFmtId="0" fontId="0" fillId="0" borderId="54" xfId="0" applyFont="1" applyFill="1" applyBorder="1" applyAlignment="1" applyProtection="1">
      <alignment horizontal="center" vertical="center"/>
      <protection/>
    </xf>
    <xf numFmtId="0" fontId="0" fillId="0" borderId="52" xfId="0" applyFont="1" applyFill="1" applyBorder="1" applyAlignment="1" applyProtection="1">
      <alignment vertical="center" wrapText="1"/>
      <protection/>
    </xf>
    <xf numFmtId="2" fontId="0" fillId="35" borderId="28" xfId="0" applyNumberFormat="1" applyFont="1" applyFill="1" applyBorder="1" applyAlignment="1" applyProtection="1">
      <alignment horizontal="center" vertical="center"/>
      <protection/>
    </xf>
    <xf numFmtId="2" fontId="0" fillId="35" borderId="34" xfId="0" applyNumberFormat="1" applyFont="1" applyFill="1" applyBorder="1" applyAlignment="1" applyProtection="1">
      <alignment horizontal="center" vertical="center"/>
      <protection/>
    </xf>
    <xf numFmtId="2" fontId="0" fillId="35" borderId="55" xfId="0" applyNumberFormat="1"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7" xfId="0" applyFont="1" applyBorder="1" applyAlignment="1" applyProtection="1">
      <alignment horizontal="center" vertical="center"/>
      <protection/>
    </xf>
    <xf numFmtId="2" fontId="0" fillId="35" borderId="56" xfId="0" applyNumberFormat="1"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2" fontId="5" fillId="33" borderId="11" xfId="0" applyNumberFormat="1" applyFont="1" applyFill="1" applyBorder="1" applyAlignment="1" applyProtection="1">
      <alignment vertical="center" wrapText="1"/>
      <protection locked="0"/>
    </xf>
    <xf numFmtId="0" fontId="9" fillId="0" borderId="20"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9" fillId="0" borderId="20" xfId="0" applyFont="1" applyBorder="1" applyAlignment="1" applyProtection="1">
      <alignment horizontal="center" vertical="center" wrapText="1"/>
      <protection/>
    </xf>
    <xf numFmtId="0" fontId="0" fillId="0" borderId="10" xfId="0" applyFont="1" applyBorder="1" applyAlignment="1" quotePrefix="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55" fillId="20" borderId="0" xfId="34" applyAlignment="1">
      <alignment/>
    </xf>
    <xf numFmtId="184" fontId="55" fillId="20" borderId="0" xfId="34" applyNumberFormat="1" applyAlignment="1">
      <alignment/>
    </xf>
    <xf numFmtId="0" fontId="0" fillId="0" borderId="10" xfId="0" applyFill="1" applyBorder="1" applyAlignment="1" applyProtection="1">
      <alignment horizontal="left" vertical="center" wrapText="1"/>
      <protection/>
    </xf>
    <xf numFmtId="0" fontId="0" fillId="0" borderId="10" xfId="0" applyFill="1" applyBorder="1" applyAlignment="1" applyProtection="1">
      <alignment horizontal="center" vertical="center" wrapText="1"/>
      <protection/>
    </xf>
    <xf numFmtId="0" fontId="71" fillId="39" borderId="19" xfId="0" applyFont="1" applyFill="1" applyBorder="1" applyAlignment="1">
      <alignment horizontal="center" vertical="center" wrapText="1"/>
    </xf>
    <xf numFmtId="2" fontId="71" fillId="39" borderId="24" xfId="0" applyNumberFormat="1" applyFont="1" applyFill="1" applyBorder="1" applyAlignment="1">
      <alignment horizontal="center" vertical="center" wrapText="1"/>
    </xf>
    <xf numFmtId="0" fontId="0" fillId="0" borderId="19" xfId="0" applyFont="1" applyBorder="1" applyAlignment="1">
      <alignment horizontal="center" vertical="center"/>
    </xf>
    <xf numFmtId="1" fontId="0" fillId="0" borderId="24" xfId="0" applyNumberFormat="1" applyFont="1" applyBorder="1" applyAlignment="1">
      <alignment horizontal="center" vertical="center"/>
    </xf>
    <xf numFmtId="2" fontId="0" fillId="0" borderId="24" xfId="0" applyNumberFormat="1" applyFont="1" applyBorder="1" applyAlignment="1">
      <alignment horizontal="center" vertical="center"/>
    </xf>
    <xf numFmtId="0" fontId="5" fillId="33" borderId="29" xfId="0" applyFont="1" applyFill="1" applyBorder="1" applyAlignment="1" applyProtection="1">
      <alignment horizontal="center" vertical="center" wrapText="1"/>
      <protection locked="0"/>
    </xf>
    <xf numFmtId="0" fontId="5" fillId="33" borderId="30" xfId="0" applyFont="1" applyFill="1" applyBorder="1" applyAlignment="1" applyProtection="1">
      <alignment vertical="center" wrapText="1"/>
      <protection locked="0"/>
    </xf>
    <xf numFmtId="0" fontId="5" fillId="33" borderId="3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0" xfId="0" applyBorder="1" applyAlignment="1" applyProtection="1">
      <alignment vertical="center" wrapText="1"/>
      <protection/>
    </xf>
    <xf numFmtId="0" fontId="1" fillId="0" borderId="20" xfId="0" applyFont="1" applyBorder="1" applyAlignment="1" applyProtection="1">
      <alignment horizontal="center" vertical="center"/>
      <protection/>
    </xf>
    <xf numFmtId="0" fontId="0" fillId="0" borderId="19" xfId="0" applyBorder="1" applyAlignment="1" applyProtection="1">
      <alignment vertical="center" wrapText="1"/>
      <protection/>
    </xf>
    <xf numFmtId="0" fontId="0" fillId="0" borderId="20" xfId="0" applyBorder="1" applyAlignment="1" applyProtection="1">
      <alignment horizontal="center" vertical="center"/>
      <protection/>
    </xf>
    <xf numFmtId="0" fontId="0" fillId="0" borderId="37" xfId="0" applyBorder="1" applyAlignment="1" applyProtection="1">
      <alignment vertical="center" wrapText="1"/>
      <protection/>
    </xf>
    <xf numFmtId="0" fontId="0" fillId="0" borderId="37" xfId="0" applyBorder="1" applyAlignment="1" applyProtection="1">
      <alignment horizontal="center" vertical="center"/>
      <protection/>
    </xf>
    <xf numFmtId="0" fontId="17" fillId="33" borderId="20" xfId="0" applyFont="1" applyFill="1" applyBorder="1" applyAlignment="1" applyProtection="1">
      <alignment horizontal="center" vertical="center"/>
      <protection/>
    </xf>
    <xf numFmtId="0" fontId="17" fillId="33" borderId="10" xfId="0" applyFont="1" applyFill="1" applyBorder="1" applyAlignment="1" applyProtection="1">
      <alignment vertical="center" wrapText="1"/>
      <protection/>
    </xf>
    <xf numFmtId="0" fontId="17"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5" fillId="35" borderId="13" xfId="0" applyFont="1" applyFill="1" applyBorder="1" applyAlignment="1" applyProtection="1">
      <alignment vertical="center"/>
      <protection/>
    </xf>
    <xf numFmtId="0" fontId="5" fillId="35" borderId="13" xfId="0" applyFont="1" applyFill="1" applyBorder="1" applyAlignment="1" applyProtection="1">
      <alignment horizontal="center" vertical="center" wrapText="1"/>
      <protection/>
    </xf>
    <xf numFmtId="0" fontId="17" fillId="33" borderId="26"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2" fontId="0" fillId="0" borderId="10" xfId="0" applyNumberFormat="1" applyFont="1" applyBorder="1" applyAlignment="1">
      <alignment horizontal="center" vertical="center"/>
    </xf>
    <xf numFmtId="2" fontId="0" fillId="0" borderId="10" xfId="0" applyNumberFormat="1" applyBorder="1" applyAlignment="1">
      <alignment horizontal="left" vertical="center"/>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vertical="center" wrapText="1"/>
      <protection/>
    </xf>
    <xf numFmtId="0" fontId="9" fillId="0" borderId="10" xfId="0" applyFont="1" applyBorder="1" applyAlignment="1" applyProtection="1">
      <alignment horizontal="left" vertical="center" wrapText="1"/>
      <protection/>
    </xf>
    <xf numFmtId="0" fontId="9" fillId="34" borderId="2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2" fontId="0" fillId="0" borderId="10" xfId="0" applyNumberFormat="1" applyBorder="1" applyAlignment="1">
      <alignment horizontal="left" vertical="center" wrapText="1"/>
    </xf>
    <xf numFmtId="2" fontId="0" fillId="0" borderId="10" xfId="0" applyNumberFormat="1" applyFill="1" applyBorder="1" applyAlignment="1">
      <alignment horizontal="left" vertical="center" wrapText="1"/>
    </xf>
    <xf numFmtId="2" fontId="5" fillId="0" borderId="10" xfId="0" applyNumberFormat="1" applyFont="1" applyFill="1" applyBorder="1" applyAlignment="1">
      <alignment horizontal="left" vertical="center" wrapText="1"/>
    </xf>
    <xf numFmtId="0" fontId="0" fillId="0" borderId="10" xfId="0"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1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0" fontId="0" fillId="0" borderId="10" xfId="0" applyFont="1" applyBorder="1" applyAlignment="1" applyProtection="1">
      <alignment vertical="center"/>
      <protection locked="0"/>
    </xf>
    <xf numFmtId="0" fontId="0" fillId="0" borderId="30" xfId="0" applyFont="1" applyBorder="1" applyAlignment="1" applyProtection="1">
      <alignment horizontal="left" vertical="center"/>
      <protection locked="0"/>
    </xf>
    <xf numFmtId="0" fontId="5" fillId="0" borderId="45" xfId="0" applyFont="1" applyBorder="1" applyAlignment="1" applyProtection="1">
      <alignment horizontal="center" vertical="top" wrapText="1"/>
      <protection/>
    </xf>
    <xf numFmtId="0" fontId="5" fillId="33" borderId="10" xfId="0" applyFont="1" applyFill="1" applyBorder="1" applyAlignment="1">
      <alignment horizontal="left" vertical="center" wrapText="1"/>
    </xf>
    <xf numFmtId="1" fontId="0" fillId="0" borderId="10" xfId="0" applyNumberFormat="1" applyFon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locked="0"/>
    </xf>
    <xf numFmtId="0" fontId="0" fillId="0" borderId="38" xfId="0" applyFont="1" applyBorder="1" applyAlignment="1" applyProtection="1">
      <alignment vertical="center" wrapText="1"/>
      <protection locked="0"/>
    </xf>
    <xf numFmtId="0" fontId="0" fillId="40" borderId="10" xfId="0" applyFill="1" applyBorder="1" applyAlignment="1" applyProtection="1">
      <alignment horizontal="center"/>
      <protection locked="0"/>
    </xf>
    <xf numFmtId="0" fontId="0" fillId="40" borderId="10" xfId="0" applyFont="1" applyFill="1" applyBorder="1" applyAlignment="1" applyProtection="1">
      <alignment horizontal="center" vertical="center" wrapText="1"/>
      <protection locked="0"/>
    </xf>
    <xf numFmtId="0" fontId="0" fillId="40" borderId="24" xfId="0" applyFill="1" applyBorder="1" applyAlignment="1" applyProtection="1">
      <alignment horizontal="center" vertical="center" wrapText="1"/>
      <protection locked="0"/>
    </xf>
    <xf numFmtId="0" fontId="0" fillId="40" borderId="24" xfId="0" applyFont="1" applyFill="1" applyBorder="1" applyAlignment="1" applyProtection="1">
      <alignment horizontal="center" vertical="center" wrapText="1"/>
      <protection locked="0"/>
    </xf>
    <xf numFmtId="0" fontId="0" fillId="40" borderId="10" xfId="0" applyFill="1" applyBorder="1" applyAlignment="1" applyProtection="1">
      <alignment vertical="center" wrapText="1"/>
      <protection locked="0"/>
    </xf>
    <xf numFmtId="0" fontId="0" fillId="40" borderId="12" xfId="0" applyFont="1" applyFill="1" applyBorder="1" applyAlignment="1" applyProtection="1">
      <alignment horizontal="center" vertical="center" wrapText="1"/>
      <protection locked="0"/>
    </xf>
    <xf numFmtId="0" fontId="0" fillId="40" borderId="28" xfId="0" applyFont="1" applyFill="1" applyBorder="1" applyAlignment="1" applyProtection="1">
      <alignment horizontal="center" vertical="center" wrapText="1"/>
      <protection locked="0"/>
    </xf>
    <xf numFmtId="0" fontId="0" fillId="40" borderId="11" xfId="0" applyFont="1" applyFill="1" applyBorder="1" applyAlignment="1" applyProtection="1">
      <alignment horizontal="center" vertical="center" wrapText="1"/>
      <protection locked="0"/>
    </xf>
    <xf numFmtId="0" fontId="0" fillId="40" borderId="57" xfId="0" applyFont="1" applyFill="1" applyBorder="1" applyAlignment="1" applyProtection="1">
      <alignment horizontal="center" vertical="center" wrapText="1"/>
      <protection locked="0"/>
    </xf>
    <xf numFmtId="0" fontId="0" fillId="40" borderId="10" xfId="0" applyFill="1" applyBorder="1" applyAlignment="1" applyProtection="1">
      <alignment horizontal="center" vertical="center"/>
      <protection locked="0"/>
    </xf>
    <xf numFmtId="0" fontId="0" fillId="40" borderId="10" xfId="0" applyFill="1" applyBorder="1" applyAlignment="1" applyProtection="1">
      <alignment horizontal="center" vertical="center" wrapText="1"/>
      <protection locked="0"/>
    </xf>
    <xf numFmtId="0" fontId="9" fillId="40" borderId="10" xfId="0" applyFont="1" applyFill="1" applyBorder="1" applyAlignment="1">
      <alignment vertical="center" wrapText="1"/>
    </xf>
    <xf numFmtId="0" fontId="9" fillId="40" borderId="10" xfId="0" applyFont="1" applyFill="1" applyBorder="1" applyAlignment="1" applyProtection="1">
      <alignment horizontal="center"/>
      <protection locked="0"/>
    </xf>
    <xf numFmtId="0" fontId="0" fillId="40" borderId="24" xfId="0" applyFill="1" applyBorder="1" applyAlignment="1" applyProtection="1">
      <alignment vertical="center" wrapText="1"/>
      <protection locked="0"/>
    </xf>
    <xf numFmtId="0" fontId="9" fillId="40" borderId="10" xfId="0" applyFont="1" applyFill="1" applyBorder="1" applyAlignment="1" applyProtection="1">
      <alignment vertical="center" wrapText="1"/>
      <protection locked="0"/>
    </xf>
    <xf numFmtId="0" fontId="5" fillId="40" borderId="10" xfId="0" applyFont="1" applyFill="1" applyBorder="1" applyAlignment="1" applyProtection="1">
      <alignment vertical="center" wrapText="1"/>
      <protection locked="0"/>
    </xf>
    <xf numFmtId="0" fontId="5" fillId="40" borderId="24" xfId="0" applyFont="1" applyFill="1" applyBorder="1" applyAlignment="1" applyProtection="1">
      <alignment vertical="center" wrapText="1"/>
      <protection locked="0"/>
    </xf>
    <xf numFmtId="186" fontId="0" fillId="40" borderId="10" xfId="0" applyNumberFormat="1"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185" fontId="0" fillId="40" borderId="10" xfId="0" applyNumberFormat="1" applyFont="1" applyFill="1" applyBorder="1" applyAlignment="1" applyProtection="1">
      <alignment horizontal="center" vertical="center" wrapText="1"/>
      <protection locked="0"/>
    </xf>
    <xf numFmtId="2" fontId="0" fillId="40" borderId="10" xfId="0" applyNumberFormat="1" applyFont="1" applyFill="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184" fontId="0" fillId="40" borderId="10" xfId="0" applyNumberFormat="1" applyFont="1" applyFill="1" applyBorder="1" applyAlignment="1" applyProtection="1">
      <alignment horizontal="center" vertical="center" wrapText="1"/>
      <protection locked="0"/>
    </xf>
    <xf numFmtId="2" fontId="0" fillId="0" borderId="24" xfId="0" applyNumberFormat="1" applyFont="1" applyBorder="1" applyAlignment="1" applyProtection="1">
      <alignment horizontal="center" vertical="center" wrapText="1"/>
      <protection locked="0"/>
    </xf>
    <xf numFmtId="2" fontId="0" fillId="0" borderId="24" xfId="0" applyNumberFormat="1" applyFont="1" applyFill="1" applyBorder="1" applyAlignment="1" applyProtection="1">
      <alignment horizontal="center" vertical="center" wrapText="1"/>
      <protection locked="0"/>
    </xf>
    <xf numFmtId="186" fontId="0" fillId="0" borderId="24" xfId="0" applyNumberFormat="1" applyFont="1" applyFill="1" applyBorder="1" applyAlignment="1" applyProtection="1">
      <alignment horizontal="center" vertical="center" wrapText="1"/>
      <protection locked="0"/>
    </xf>
    <xf numFmtId="186" fontId="0" fillId="0" borderId="24" xfId="0" applyNumberFormat="1" applyFont="1" applyBorder="1" applyAlignment="1" applyProtection="1">
      <alignment horizontal="center" vertical="center" wrapText="1"/>
      <protection locked="0"/>
    </xf>
    <xf numFmtId="185" fontId="0" fillId="0" borderId="24" xfId="0" applyNumberFormat="1" applyFont="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5" fillId="35" borderId="11"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21" fillId="0" borderId="10" xfId="0" applyFont="1" applyBorder="1" applyAlignment="1" applyProtection="1">
      <alignment horizontal="left" vertical="top" wrapText="1"/>
      <protection/>
    </xf>
    <xf numFmtId="0" fontId="29" fillId="41" borderId="38" xfId="0" applyFont="1" applyFill="1" applyBorder="1" applyAlignment="1" applyProtection="1">
      <alignment horizontal="center" vertical="center" wrapText="1"/>
      <protection/>
    </xf>
    <xf numFmtId="0" fontId="29" fillId="41" borderId="37" xfId="0" applyFont="1" applyFill="1" applyBorder="1" applyAlignment="1" applyProtection="1">
      <alignment horizontal="center" vertical="center" wrapText="1"/>
      <protection/>
    </xf>
    <xf numFmtId="0" fontId="29" fillId="41" borderId="12" xfId="0" applyFont="1" applyFill="1" applyBorder="1" applyAlignment="1" applyProtection="1">
      <alignment horizontal="center" vertical="center" wrapText="1"/>
      <protection/>
    </xf>
    <xf numFmtId="0" fontId="30" fillId="41" borderId="38" xfId="0" applyFont="1" applyFill="1" applyBorder="1" applyAlignment="1">
      <alignment horizontal="center" vertical="center" wrapText="1"/>
    </xf>
    <xf numFmtId="0" fontId="30" fillId="41" borderId="37" xfId="0" applyFont="1" applyFill="1" applyBorder="1" applyAlignment="1">
      <alignment horizontal="center" vertical="center" wrapText="1"/>
    </xf>
    <xf numFmtId="0" fontId="30" fillId="41" borderId="12" xfId="0" applyFont="1" applyFill="1" applyBorder="1" applyAlignment="1">
      <alignment horizontal="center" vertical="center" wrapText="1"/>
    </xf>
    <xf numFmtId="0" fontId="0" fillId="0" borderId="11" xfId="0" applyFont="1" applyBorder="1" applyAlignment="1" applyProtection="1">
      <alignment horizontal="left" vertical="top" wrapText="1"/>
      <protection/>
    </xf>
    <xf numFmtId="0" fontId="0" fillId="0" borderId="40"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center" vertical="top" wrapText="1"/>
      <protection/>
    </xf>
    <xf numFmtId="0" fontId="0" fillId="0" borderId="40" xfId="0" applyFont="1" applyBorder="1" applyAlignment="1" applyProtection="1">
      <alignment horizontal="center" vertical="top" wrapText="1"/>
      <protection/>
    </xf>
    <xf numFmtId="0" fontId="0" fillId="0" borderId="15" xfId="0" applyFont="1" applyBorder="1" applyAlignment="1" applyProtection="1">
      <alignment horizontal="center" vertical="top" wrapText="1"/>
      <protection/>
    </xf>
    <xf numFmtId="0" fontId="31" fillId="42" borderId="10" xfId="0" applyFont="1" applyFill="1" applyBorder="1" applyAlignment="1" applyProtection="1">
      <alignment horizontal="center" vertical="center"/>
      <protection/>
    </xf>
    <xf numFmtId="0" fontId="21" fillId="0" borderId="11" xfId="0" applyFont="1" applyBorder="1" applyAlignment="1" applyProtection="1">
      <alignment horizontal="left" vertical="top" wrapText="1"/>
      <protection/>
    </xf>
    <xf numFmtId="0" fontId="21" fillId="0" borderId="15" xfId="0" applyFont="1" applyBorder="1" applyAlignment="1" applyProtection="1">
      <alignment horizontal="left" vertical="top" wrapText="1"/>
      <protection/>
    </xf>
    <xf numFmtId="0" fontId="21" fillId="0" borderId="40" xfId="0" applyFont="1" applyBorder="1" applyAlignment="1" applyProtection="1">
      <alignment horizontal="left" vertical="top" wrapText="1"/>
      <protection/>
    </xf>
    <xf numFmtId="0" fontId="26" fillId="0" borderId="0" xfId="0" applyFont="1" applyAlignment="1" applyProtection="1">
      <alignment horizontal="left" vertical="center" wrapText="1"/>
      <protection/>
    </xf>
    <xf numFmtId="0" fontId="7" fillId="0" borderId="38" xfId="0" applyFont="1" applyBorder="1" applyAlignment="1">
      <alignment horizontal="center" vertical="center" wrapText="1"/>
    </xf>
    <xf numFmtId="0" fontId="7" fillId="0" borderId="12" xfId="0" applyFont="1" applyBorder="1" applyAlignment="1">
      <alignment horizontal="center" vertical="center" wrapText="1"/>
    </xf>
    <xf numFmtId="0" fontId="6" fillId="33" borderId="38"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xf>
    <xf numFmtId="0" fontId="6" fillId="33" borderId="10" xfId="0" applyFont="1" applyFill="1"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xf>
    <xf numFmtId="0" fontId="26" fillId="33" borderId="38" xfId="0" applyFont="1" applyFill="1" applyBorder="1" applyAlignment="1">
      <alignment horizontal="left" vertical="center" wrapText="1"/>
    </xf>
    <xf numFmtId="0" fontId="26" fillId="33" borderId="37"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25" fillId="33" borderId="10" xfId="0" applyFont="1" applyFill="1" applyBorder="1" applyAlignment="1">
      <alignment horizontal="justify" vertical="center" wrapText="1"/>
    </xf>
    <xf numFmtId="0" fontId="7" fillId="0" borderId="37" xfId="0" applyFont="1" applyBorder="1" applyAlignment="1">
      <alignment horizontal="center" vertical="center" wrapText="1"/>
    </xf>
    <xf numFmtId="0" fontId="26" fillId="33" borderId="11"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1" xfId="0" applyFont="1" applyFill="1" applyBorder="1" applyAlignment="1">
      <alignment horizontal="left" vertical="center" wrapText="1"/>
    </xf>
    <xf numFmtId="0" fontId="26" fillId="33" borderId="15"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0" borderId="10" xfId="0" applyFont="1" applyBorder="1" applyAlignment="1" applyProtection="1">
      <alignment horizontal="left" vertical="center"/>
      <protection locked="0"/>
    </xf>
    <xf numFmtId="0" fontId="0" fillId="33" borderId="10" xfId="0" applyFont="1" applyFill="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65" fillId="0" borderId="30" xfId="54"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38" xfId="0"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38" xfId="0" applyFont="1" applyFill="1" applyBorder="1" applyAlignment="1" applyProtection="1">
      <alignment horizontal="left" vertical="center"/>
      <protection locked="0"/>
    </xf>
    <xf numFmtId="0" fontId="5" fillId="33" borderId="10" xfId="0" applyFont="1" applyFill="1" applyBorder="1" applyAlignment="1">
      <alignment horizontal="left" vertical="center"/>
    </xf>
    <xf numFmtId="0" fontId="0" fillId="0" borderId="38"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0" xfId="0" applyFont="1" applyBorder="1" applyAlignment="1" applyProtection="1">
      <alignment vertical="center"/>
      <protection locked="0"/>
    </xf>
    <xf numFmtId="0" fontId="33" fillId="0" borderId="10" xfId="54"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30" fillId="0" borderId="38" xfId="0" applyFont="1" applyBorder="1" applyAlignment="1" applyProtection="1">
      <alignment horizontal="left" vertical="center"/>
      <protection locked="0"/>
    </xf>
    <xf numFmtId="0" fontId="30" fillId="0" borderId="37"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5" fillId="33" borderId="41"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32" fillId="33" borderId="19" xfId="0" applyFont="1" applyFill="1" applyBorder="1" applyAlignment="1">
      <alignment horizontal="center" vertical="center"/>
    </xf>
    <xf numFmtId="0" fontId="32" fillId="33" borderId="10" xfId="0" applyFont="1" applyFill="1" applyBorder="1" applyAlignment="1">
      <alignment horizontal="center" vertical="center"/>
    </xf>
    <xf numFmtId="0" fontId="0" fillId="0" borderId="10" xfId="0"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17" fillId="33" borderId="15" xfId="0" applyFont="1" applyFill="1" applyBorder="1" applyAlignment="1" applyProtection="1">
      <alignment horizontal="center" vertical="center" wrapText="1"/>
      <protection/>
    </xf>
    <xf numFmtId="0" fontId="16" fillId="0" borderId="0" xfId="0" applyFont="1" applyBorder="1" applyAlignment="1" applyProtection="1">
      <alignment horizontal="right" vertical="center"/>
      <protection locked="0"/>
    </xf>
    <xf numFmtId="0" fontId="0" fillId="33" borderId="10" xfId="0" applyFont="1" applyFill="1" applyBorder="1" applyAlignment="1" applyProtection="1">
      <alignment horizontal="center" vertical="center" wrapText="1"/>
      <protection/>
    </xf>
    <xf numFmtId="0" fontId="5" fillId="0" borderId="21"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17" xfId="0" applyFont="1" applyFill="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7" xfId="0" applyFont="1" applyBorder="1" applyAlignment="1" applyProtection="1">
      <alignment horizontal="right" vertical="center"/>
      <protection/>
    </xf>
    <xf numFmtId="0" fontId="0" fillId="0" borderId="19"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33" borderId="3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32" fillId="0" borderId="19" xfId="0" applyFont="1" applyBorder="1" applyAlignment="1" applyProtection="1">
      <alignment horizontal="center" vertical="center"/>
      <protection/>
    </xf>
    <xf numFmtId="0" fontId="32" fillId="0" borderId="10" xfId="0" applyFont="1" applyBorder="1" applyAlignment="1" applyProtection="1">
      <alignment horizontal="center" vertical="center"/>
      <protection/>
    </xf>
    <xf numFmtId="0" fontId="32" fillId="0" borderId="24" xfId="0" applyFont="1" applyBorder="1" applyAlignment="1" applyProtection="1">
      <alignment horizontal="center" vertical="center"/>
      <protection/>
    </xf>
    <xf numFmtId="0" fontId="31" fillId="42" borderId="54" xfId="0" applyFont="1" applyFill="1" applyBorder="1" applyAlignment="1" applyProtection="1">
      <alignment horizontal="center" vertical="center"/>
      <protection/>
    </xf>
    <xf numFmtId="0" fontId="31" fillId="42" borderId="52" xfId="0" applyFont="1" applyFill="1" applyBorder="1" applyAlignment="1" applyProtection="1">
      <alignment horizontal="center" vertical="center"/>
      <protection/>
    </xf>
    <xf numFmtId="0" fontId="31" fillId="42" borderId="53" xfId="0" applyFont="1" applyFill="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17" fillId="33" borderId="10" xfId="0" applyFont="1" applyFill="1" applyBorder="1" applyAlignment="1" applyProtection="1">
      <alignment horizontal="center" vertical="center" wrapText="1"/>
      <protection/>
    </xf>
    <xf numFmtId="0" fontId="5" fillId="0" borderId="21"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34" borderId="37" xfId="0" applyFont="1" applyFill="1" applyBorder="1" applyAlignment="1" applyProtection="1">
      <alignment horizontal="left" vertical="center" wrapText="1"/>
      <protection/>
    </xf>
    <xf numFmtId="0" fontId="5" fillId="34" borderId="55"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5" fillId="33" borderId="55" xfId="0" applyFont="1" applyFill="1" applyBorder="1" applyAlignment="1" applyProtection="1">
      <alignment horizontal="left" vertical="center" wrapText="1"/>
      <protection/>
    </xf>
    <xf numFmtId="0" fontId="34" fillId="42" borderId="50" xfId="0" applyFont="1" applyFill="1" applyBorder="1" applyAlignment="1" applyProtection="1">
      <alignment horizontal="center" vertical="center"/>
      <protection/>
    </xf>
    <xf numFmtId="0" fontId="35" fillId="42" borderId="33" xfId="0" applyFont="1" applyFill="1" applyBorder="1" applyAlignment="1" applyProtection="1">
      <alignment horizontal="center" vertical="center"/>
      <protection/>
    </xf>
    <xf numFmtId="0" fontId="35" fillId="42" borderId="34" xfId="0" applyFont="1" applyFill="1" applyBorder="1" applyAlignment="1" applyProtection="1">
      <alignment horizontal="center" vertical="center"/>
      <protection/>
    </xf>
    <xf numFmtId="0" fontId="32" fillId="34" borderId="20" xfId="0" applyFont="1" applyFill="1" applyBorder="1" applyAlignment="1" applyProtection="1">
      <alignment horizontal="center" vertical="center"/>
      <protection/>
    </xf>
    <xf numFmtId="0" fontId="32" fillId="34" borderId="37" xfId="0" applyFont="1" applyFill="1" applyBorder="1" applyAlignment="1" applyProtection="1">
      <alignment horizontal="center" vertical="center"/>
      <protection/>
    </xf>
    <xf numFmtId="0" fontId="32" fillId="34" borderId="55" xfId="0" applyFont="1" applyFill="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6" fillId="0" borderId="0" xfId="0" applyFont="1" applyBorder="1" applyAlignment="1" applyProtection="1">
      <alignment horizontal="right"/>
      <protection/>
    </xf>
    <xf numFmtId="0" fontId="16" fillId="0" borderId="17" xfId="0" applyFont="1" applyBorder="1" applyAlignment="1" applyProtection="1">
      <alignment horizontal="right"/>
      <protection/>
    </xf>
    <xf numFmtId="0" fontId="5" fillId="34" borderId="10" xfId="0" applyFont="1" applyFill="1" applyBorder="1" applyAlignment="1" applyProtection="1">
      <alignment horizontal="left" vertical="center" wrapText="1"/>
      <protection/>
    </xf>
    <xf numFmtId="0" fontId="0" fillId="34" borderId="10" xfId="0" applyFont="1" applyFill="1" applyBorder="1" applyAlignment="1" applyProtection="1">
      <alignment/>
      <protection/>
    </xf>
    <xf numFmtId="0" fontId="0" fillId="34" borderId="24" xfId="0" applyFont="1" applyFill="1" applyBorder="1" applyAlignment="1" applyProtection="1">
      <alignment/>
      <protection/>
    </xf>
    <xf numFmtId="0" fontId="16" fillId="34" borderId="20" xfId="0" applyFont="1" applyFill="1" applyBorder="1" applyAlignment="1" applyProtection="1">
      <alignment horizontal="left" vertical="center" wrapText="1"/>
      <protection/>
    </xf>
    <xf numFmtId="0" fontId="16" fillId="34" borderId="37" xfId="0" applyFont="1" applyFill="1" applyBorder="1" applyAlignment="1" applyProtection="1">
      <alignment horizontal="left" vertical="center" wrapText="1"/>
      <protection/>
    </xf>
    <xf numFmtId="0" fontId="16" fillId="34" borderId="55" xfId="0" applyFont="1" applyFill="1" applyBorder="1" applyAlignment="1" applyProtection="1">
      <alignment horizontal="left" vertical="center" wrapText="1"/>
      <protection/>
    </xf>
    <xf numFmtId="0" fontId="5" fillId="34" borderId="20" xfId="0" applyFont="1" applyFill="1" applyBorder="1" applyAlignment="1" applyProtection="1">
      <alignment horizontal="left" vertical="center" wrapText="1"/>
      <protection/>
    </xf>
    <xf numFmtId="0" fontId="5" fillId="0" borderId="2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36" fillId="34" borderId="18" xfId="0" applyFont="1" applyFill="1" applyBorder="1" applyAlignment="1" applyProtection="1">
      <alignment horizontal="center" vertical="center" wrapText="1"/>
      <protection/>
    </xf>
    <xf numFmtId="0" fontId="36" fillId="34" borderId="58" xfId="0" applyFont="1" applyFill="1" applyBorder="1" applyAlignment="1" applyProtection="1">
      <alignment horizontal="center" vertical="center" wrapText="1"/>
      <protection/>
    </xf>
    <xf numFmtId="0" fontId="36" fillId="34" borderId="59" xfId="0" applyFont="1" applyFill="1" applyBorder="1" applyAlignment="1" applyProtection="1">
      <alignment horizontal="center" vertical="center" wrapText="1"/>
      <protection/>
    </xf>
    <xf numFmtId="0" fontId="10" fillId="34" borderId="50" xfId="0" applyFont="1" applyFill="1" applyBorder="1" applyAlignment="1" applyProtection="1">
      <alignment horizontal="center" vertical="center" wrapText="1"/>
      <protection/>
    </xf>
    <xf numFmtId="0" fontId="10" fillId="34" borderId="60" xfId="0" applyFont="1" applyFill="1" applyBorder="1" applyAlignment="1" applyProtection="1">
      <alignment horizontal="center" vertical="center" wrapText="1"/>
      <protection/>
    </xf>
    <xf numFmtId="0" fontId="37" fillId="42" borderId="18" xfId="0" applyFont="1" applyFill="1" applyBorder="1" applyAlignment="1" applyProtection="1">
      <alignment horizontal="center" vertical="center"/>
      <protection/>
    </xf>
    <xf numFmtId="0" fontId="37" fillId="42" borderId="58" xfId="0" applyFont="1" applyFill="1" applyBorder="1" applyAlignment="1" applyProtection="1">
      <alignment horizontal="center" vertical="center"/>
      <protection/>
    </xf>
    <xf numFmtId="0" fontId="37" fillId="42" borderId="59" xfId="0" applyFont="1" applyFill="1" applyBorder="1" applyAlignment="1" applyProtection="1">
      <alignment horizontal="center" vertical="center"/>
      <protection/>
    </xf>
    <xf numFmtId="0" fontId="10" fillId="34" borderId="26" xfId="0" applyFont="1" applyFill="1" applyBorder="1" applyAlignment="1" applyProtection="1">
      <alignment horizontal="center" vertical="center" wrapText="1"/>
      <protection/>
    </xf>
    <xf numFmtId="0" fontId="10" fillId="34" borderId="61" xfId="0" applyFont="1" applyFill="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31" fillId="42" borderId="50" xfId="0" applyFont="1" applyFill="1" applyBorder="1" applyAlignment="1" applyProtection="1">
      <alignment horizontal="center" vertical="center"/>
      <protection/>
    </xf>
    <xf numFmtId="0" fontId="31" fillId="42" borderId="33" xfId="0" applyFont="1" applyFill="1" applyBorder="1" applyAlignment="1" applyProtection="1">
      <alignment horizontal="center" vertical="center"/>
      <protection/>
    </xf>
    <xf numFmtId="0" fontId="5" fillId="33" borderId="11" xfId="0" applyFont="1" applyFill="1" applyBorder="1" applyAlignment="1">
      <alignment horizontal="center" vertical="top" wrapText="1"/>
    </xf>
    <xf numFmtId="0" fontId="5" fillId="33" borderId="15" xfId="0" applyFont="1" applyFill="1" applyBorder="1" applyAlignment="1">
      <alignment horizontal="center" vertical="top" wrapText="1"/>
    </xf>
    <xf numFmtId="0" fontId="0" fillId="33" borderId="38" xfId="0" applyFill="1" applyBorder="1" applyAlignment="1">
      <alignment horizontal="center"/>
    </xf>
    <xf numFmtId="0" fontId="0" fillId="33" borderId="37" xfId="0" applyFill="1" applyBorder="1" applyAlignment="1">
      <alignment horizontal="center"/>
    </xf>
    <xf numFmtId="0" fontId="0" fillId="33" borderId="12" xfId="0" applyFill="1" applyBorder="1" applyAlignment="1">
      <alignment horizontal="center"/>
    </xf>
    <xf numFmtId="0" fontId="0" fillId="0" borderId="37" xfId="0" applyBorder="1" applyAlignment="1">
      <alignment horizontal="center" vertical="top"/>
    </xf>
    <xf numFmtId="0" fontId="0" fillId="0" borderId="12" xfId="0" applyBorder="1" applyAlignment="1">
      <alignment horizontal="center" vertical="top"/>
    </xf>
    <xf numFmtId="0" fontId="0" fillId="0" borderId="38" xfId="0" applyBorder="1" applyAlignment="1">
      <alignment horizontal="center" vertical="top"/>
    </xf>
    <xf numFmtId="0" fontId="10" fillId="0" borderId="37"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38" fillId="42" borderId="10" xfId="0" applyFont="1" applyFill="1" applyBorder="1" applyAlignment="1">
      <alignment horizontal="center"/>
    </xf>
    <xf numFmtId="0" fontId="19" fillId="0" borderId="38" xfId="0" applyFont="1" applyBorder="1" applyAlignment="1">
      <alignment horizontal="left"/>
    </xf>
    <xf numFmtId="0" fontId="19" fillId="0" borderId="12" xfId="0" applyFont="1" applyBorder="1" applyAlignment="1">
      <alignment horizontal="left"/>
    </xf>
    <xf numFmtId="0" fontId="19" fillId="0" borderId="38" xfId="0" applyFont="1" applyBorder="1" applyAlignment="1">
      <alignment horizontal="center"/>
    </xf>
    <xf numFmtId="0" fontId="19" fillId="0" borderId="37" xfId="0" applyFont="1" applyBorder="1" applyAlignment="1">
      <alignment horizontal="center"/>
    </xf>
    <xf numFmtId="0" fontId="19" fillId="0" borderId="12" xfId="0" applyFont="1" applyBorder="1" applyAlignment="1">
      <alignment horizontal="center"/>
    </xf>
    <xf numFmtId="0" fontId="0" fillId="0" borderId="10" xfId="0" applyFont="1" applyBorder="1" applyAlignment="1">
      <alignment horizontal="left"/>
    </xf>
    <xf numFmtId="0" fontId="10" fillId="0" borderId="38" xfId="0" applyFont="1" applyFill="1" applyBorder="1" applyAlignment="1" applyProtection="1">
      <alignment horizontal="center" vertical="center"/>
      <protection/>
    </xf>
    <xf numFmtId="0" fontId="24" fillId="0" borderId="0" xfId="0" applyFont="1" applyAlignment="1" applyProtection="1">
      <alignment horizontal="left" vertical="center"/>
      <protection/>
    </xf>
    <xf numFmtId="0" fontId="19" fillId="0" borderId="37"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0" fillId="0" borderId="0" xfId="0" applyAlignment="1" applyProtection="1">
      <alignment horizontal="left" wrapText="1"/>
      <protection/>
    </xf>
    <xf numFmtId="0" fontId="24" fillId="0" borderId="0" xfId="0" applyFont="1" applyAlignment="1" applyProtection="1">
      <alignment horizontal="left" vertical="top" wrapText="1"/>
      <protection/>
    </xf>
    <xf numFmtId="0" fontId="24" fillId="0" borderId="0" xfId="0" applyFont="1" applyAlignment="1" applyProtection="1">
      <alignment horizontal="left" vertical="center" wrapText="1"/>
      <protection/>
    </xf>
    <xf numFmtId="0" fontId="0" fillId="0" borderId="10" xfId="0" applyFont="1" applyBorder="1" applyAlignment="1" applyProtection="1">
      <alignment horizontal="left"/>
      <protection/>
    </xf>
    <xf numFmtId="0" fontId="19" fillId="0" borderId="10" xfId="0" applyFont="1" applyBorder="1" applyAlignment="1" applyProtection="1">
      <alignment horizontal="center" vertical="center"/>
      <protection/>
    </xf>
    <xf numFmtId="0" fontId="38" fillId="42" borderId="51" xfId="0" applyFont="1" applyFill="1" applyBorder="1" applyAlignment="1" applyProtection="1">
      <alignment horizontal="center" vertical="center"/>
      <protection/>
    </xf>
    <xf numFmtId="0" fontId="19" fillId="0" borderId="62" xfId="0" applyFont="1" applyBorder="1" applyAlignment="1" applyProtection="1">
      <alignment horizontal="left" vertical="center"/>
      <protection/>
    </xf>
    <xf numFmtId="0" fontId="19" fillId="0" borderId="28" xfId="0" applyFont="1" applyBorder="1" applyAlignment="1" applyProtection="1">
      <alignment horizontal="left" vertical="center"/>
      <protection/>
    </xf>
    <xf numFmtId="0" fontId="5" fillId="0" borderId="10" xfId="0" applyFont="1" applyBorder="1" applyAlignment="1" applyProtection="1">
      <alignment horizontal="left"/>
      <protection/>
    </xf>
    <xf numFmtId="0" fontId="5" fillId="0" borderId="10" xfId="0" applyFont="1" applyBorder="1" applyAlignment="1" applyProtection="1">
      <alignment horizontal="center"/>
      <protection/>
    </xf>
    <xf numFmtId="0" fontId="19" fillId="0" borderId="10" xfId="0" applyFont="1" applyBorder="1" applyAlignment="1" applyProtection="1">
      <alignment horizontal="left" vertical="center"/>
      <protection/>
    </xf>
    <xf numFmtId="0" fontId="19" fillId="0" borderId="10" xfId="0" applyFont="1" applyBorder="1" applyAlignment="1">
      <alignment horizontal="center"/>
    </xf>
    <xf numFmtId="0" fontId="38" fillId="42" borderId="38" xfId="0" applyFont="1" applyFill="1" applyBorder="1" applyAlignment="1">
      <alignment horizontal="center" vertical="center" wrapText="1"/>
    </xf>
    <xf numFmtId="0" fontId="38" fillId="42" borderId="37" xfId="0" applyFont="1" applyFill="1" applyBorder="1" applyAlignment="1">
      <alignment horizontal="center" vertical="center" wrapText="1"/>
    </xf>
    <xf numFmtId="0" fontId="38" fillId="42" borderId="12" xfId="0" applyFont="1" applyFill="1" applyBorder="1" applyAlignment="1">
      <alignment horizontal="center" vertical="center" wrapText="1"/>
    </xf>
    <xf numFmtId="0" fontId="19" fillId="0" borderId="38" xfId="0" applyFont="1" applyBorder="1" applyAlignment="1">
      <alignment horizontal="left" vertical="center" wrapText="1"/>
    </xf>
    <xf numFmtId="0" fontId="19" fillId="0" borderId="37" xfId="0" applyFont="1" applyBorder="1" applyAlignment="1">
      <alignment horizontal="left" vertical="center" wrapText="1"/>
    </xf>
    <xf numFmtId="0" fontId="19" fillId="0" borderId="37" xfId="0" applyFont="1" applyBorder="1" applyAlignment="1">
      <alignment horizontal="center" vertical="center" wrapText="1"/>
    </xf>
    <xf numFmtId="0" fontId="19" fillId="0" borderId="12" xfId="0" applyFont="1" applyBorder="1" applyAlignment="1">
      <alignment horizontal="center" vertical="center" wrapText="1"/>
    </xf>
    <xf numFmtId="0" fontId="39" fillId="42" borderId="10" xfId="0" applyFont="1" applyFill="1" applyBorder="1" applyAlignment="1">
      <alignment horizontal="center" vertical="center"/>
    </xf>
    <xf numFmtId="0" fontId="19" fillId="0" borderId="38" xfId="0" applyFont="1" applyBorder="1" applyAlignment="1">
      <alignment horizontal="left" vertical="center"/>
    </xf>
    <xf numFmtId="0" fontId="19" fillId="0" borderId="12" xfId="0" applyFont="1" applyBorder="1" applyAlignment="1">
      <alignment horizontal="left" vertical="center"/>
    </xf>
    <xf numFmtId="0" fontId="19" fillId="0" borderId="38" xfId="0" applyFont="1" applyBorder="1" applyAlignment="1">
      <alignment horizontal="center" vertical="center"/>
    </xf>
    <xf numFmtId="0" fontId="19" fillId="0" borderId="37" xfId="0" applyFont="1" applyBorder="1" applyAlignment="1">
      <alignment horizontal="center" vertical="center"/>
    </xf>
    <xf numFmtId="0" fontId="19" fillId="0" borderId="12" xfId="0" applyFont="1" applyBorder="1" applyAlignment="1">
      <alignment horizontal="center" vertical="center"/>
    </xf>
    <xf numFmtId="0" fontId="0" fillId="0" borderId="10" xfId="0" applyFont="1" applyBorder="1" applyAlignment="1">
      <alignment horizontal="left" vertical="center"/>
    </xf>
    <xf numFmtId="2" fontId="38" fillId="42" borderId="10" xfId="0" applyNumberFormat="1" applyFont="1" applyFill="1" applyBorder="1" applyAlignment="1">
      <alignment horizontal="center" vertical="center"/>
    </xf>
    <xf numFmtId="2" fontId="19" fillId="0" borderId="10" xfId="0" applyNumberFormat="1" applyFont="1" applyBorder="1" applyAlignment="1">
      <alignment horizontal="center" vertical="center"/>
    </xf>
    <xf numFmtId="0" fontId="19" fillId="0" borderId="38" xfId="0" applyFont="1" applyBorder="1" applyAlignment="1">
      <alignment horizontal="center" vertical="center" wrapText="1"/>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2" xfId="0" applyFont="1" applyFill="1" applyBorder="1" applyAlignment="1">
      <alignment horizontal="center" vertical="center"/>
    </xf>
    <xf numFmtId="2" fontId="0" fillId="0" borderId="10" xfId="0" applyNumberFormat="1" applyFont="1" applyBorder="1" applyAlignment="1">
      <alignment horizontal="center" vertical="center"/>
    </xf>
    <xf numFmtId="2" fontId="0" fillId="0" borderId="24" xfId="0" applyNumberFormat="1" applyFont="1" applyBorder="1" applyAlignment="1">
      <alignment horizontal="center" vertical="center"/>
    </xf>
    <xf numFmtId="0" fontId="5" fillId="33" borderId="30"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0" fillId="0" borderId="19" xfId="0" applyFont="1" applyBorder="1" applyAlignment="1">
      <alignment horizontal="left" vertical="center"/>
    </xf>
  </cellXfs>
  <cellStyles count="68">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10" xfId="61"/>
    <cellStyle name="Percent 11" xfId="62"/>
    <cellStyle name="Percent 12" xfId="63"/>
    <cellStyle name="Percent 13" xfId="64"/>
    <cellStyle name="Percent 14" xfId="65"/>
    <cellStyle name="Percent 15" xfId="66"/>
    <cellStyle name="Percent 16" xfId="67"/>
    <cellStyle name="Percent 17" xfId="68"/>
    <cellStyle name="Percent 18" xfId="69"/>
    <cellStyle name="Percent 19" xfId="70"/>
    <cellStyle name="Percent 2" xfId="71"/>
    <cellStyle name="Percent 3" xfId="72"/>
    <cellStyle name="Percent 4" xfId="73"/>
    <cellStyle name="Percent 5" xfId="74"/>
    <cellStyle name="Percent 6" xfId="75"/>
    <cellStyle name="Percent 7" xfId="76"/>
    <cellStyle name="Percent 8" xfId="77"/>
    <cellStyle name="Percent 9" xfId="78"/>
    <cellStyle name="Title" xfId="79"/>
    <cellStyle name="Total" xfId="80"/>
    <cellStyle name="Warning Text" xfId="81"/>
  </cellStyles>
  <dxfs count="416">
    <dxf>
      <fill>
        <patternFill>
          <bgColor indexed="55"/>
        </patternFill>
      </fill>
    </dxf>
    <dxf>
      <fill>
        <patternFill>
          <bgColor indexed="22"/>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08"/>
  <sheetViews>
    <sheetView zoomScale="80" zoomScaleNormal="80" zoomScalePageLayoutView="0" workbookViewId="0" topLeftCell="A1">
      <selection activeCell="B25" sqref="B25"/>
    </sheetView>
  </sheetViews>
  <sheetFormatPr defaultColWidth="0" defaultRowHeight="15"/>
  <cols>
    <col min="1" max="1" width="10.140625" style="424" customWidth="1"/>
    <col min="2" max="2" width="79.7109375" style="390" customWidth="1"/>
    <col min="3" max="3" width="28.00390625" style="422" customWidth="1"/>
    <col min="4" max="4" width="16.28125" style="423" bestFit="1" customWidth="1"/>
    <col min="5" max="5" width="35.28125" style="422" customWidth="1"/>
    <col min="6" max="6" width="33.7109375" style="423" customWidth="1"/>
    <col min="7" max="7" width="9.00390625" style="395" hidden="1" customWidth="1"/>
    <col min="8" max="8" width="4.7109375" style="390" hidden="1" customWidth="1"/>
    <col min="9" max="9" width="23.421875" style="390" hidden="1" customWidth="1"/>
    <col min="10" max="16384" width="0" style="390" hidden="1" customWidth="1"/>
  </cols>
  <sheetData>
    <row r="1" spans="1:7" ht="45.75" customHeight="1">
      <c r="A1" s="924" t="s">
        <v>1248</v>
      </c>
      <c r="B1" s="924"/>
      <c r="C1" s="924"/>
      <c r="D1" s="924"/>
      <c r="E1" s="924"/>
      <c r="F1" s="924"/>
      <c r="G1" s="389"/>
    </row>
    <row r="2" spans="1:6" ht="15">
      <c r="A2" s="391"/>
      <c r="B2" s="392"/>
      <c r="C2" s="393"/>
      <c r="D2" s="394"/>
      <c r="E2" s="393"/>
      <c r="F2" s="394"/>
    </row>
    <row r="3" spans="1:7" ht="60">
      <c r="A3" s="396" t="s">
        <v>629</v>
      </c>
      <c r="B3" s="646" t="s">
        <v>531</v>
      </c>
      <c r="C3" s="734" t="s">
        <v>853</v>
      </c>
      <c r="D3" s="735" t="s">
        <v>910</v>
      </c>
      <c r="E3" s="397" t="s">
        <v>1068</v>
      </c>
      <c r="F3" s="397" t="s">
        <v>1069</v>
      </c>
      <c r="G3" s="398"/>
    </row>
    <row r="4" spans="1:7" ht="21" customHeight="1">
      <c r="A4" s="911" t="s">
        <v>1611</v>
      </c>
      <c r="B4" s="912"/>
      <c r="C4" s="912"/>
      <c r="D4" s="912"/>
      <c r="E4" s="912"/>
      <c r="F4" s="913"/>
      <c r="G4" s="398"/>
    </row>
    <row r="5" spans="1:7" ht="21" customHeight="1">
      <c r="A5" s="914" t="s">
        <v>1586</v>
      </c>
      <c r="B5" s="915"/>
      <c r="C5" s="915"/>
      <c r="D5" s="915"/>
      <c r="E5" s="915"/>
      <c r="F5" s="916"/>
      <c r="G5" s="398"/>
    </row>
    <row r="6" spans="1:7" ht="26.25" customHeight="1">
      <c r="A6" s="387" t="s">
        <v>6</v>
      </c>
      <c r="B6" s="399" t="s">
        <v>5</v>
      </c>
      <c r="C6" s="393"/>
      <c r="D6" s="394"/>
      <c r="E6" s="394"/>
      <c r="F6" s="394"/>
      <c r="G6" s="400"/>
    </row>
    <row r="7" spans="1:7" ht="48">
      <c r="A7" s="89" t="s">
        <v>63</v>
      </c>
      <c r="B7" s="88" t="s">
        <v>655</v>
      </c>
      <c r="C7" s="393" t="s">
        <v>930</v>
      </c>
      <c r="D7" s="394" t="s">
        <v>110</v>
      </c>
      <c r="E7" s="401" t="s">
        <v>1091</v>
      </c>
      <c r="F7" s="394" t="s">
        <v>976</v>
      </c>
      <c r="G7" s="400"/>
    </row>
    <row r="8" spans="1:7" ht="48">
      <c r="A8" s="89" t="s">
        <v>64</v>
      </c>
      <c r="B8" s="88" t="s">
        <v>656</v>
      </c>
      <c r="C8" s="402" t="s">
        <v>931</v>
      </c>
      <c r="D8" s="394" t="s">
        <v>110</v>
      </c>
      <c r="E8" s="401" t="s">
        <v>1092</v>
      </c>
      <c r="F8" s="394" t="s">
        <v>976</v>
      </c>
      <c r="G8" s="400"/>
    </row>
    <row r="9" spans="1:7" ht="36">
      <c r="A9" s="89" t="s">
        <v>65</v>
      </c>
      <c r="B9" s="88" t="s">
        <v>1090</v>
      </c>
      <c r="C9" s="403" t="s">
        <v>932</v>
      </c>
      <c r="D9" s="394" t="s">
        <v>937</v>
      </c>
      <c r="E9" s="401" t="s">
        <v>1548</v>
      </c>
      <c r="F9" s="394" t="s">
        <v>1000</v>
      </c>
      <c r="G9" s="400"/>
    </row>
    <row r="10" spans="1:7" ht="36">
      <c r="A10" s="89" t="s">
        <v>77</v>
      </c>
      <c r="B10" s="88" t="s">
        <v>532</v>
      </c>
      <c r="C10" s="402" t="s">
        <v>933</v>
      </c>
      <c r="D10" s="394" t="s">
        <v>934</v>
      </c>
      <c r="E10" s="394" t="s">
        <v>1548</v>
      </c>
      <c r="F10" s="394" t="s">
        <v>1000</v>
      </c>
      <c r="G10" s="400"/>
    </row>
    <row r="11" spans="1:7" ht="36">
      <c r="A11" s="89" t="s">
        <v>85</v>
      </c>
      <c r="B11" s="88" t="s">
        <v>881</v>
      </c>
      <c r="C11" s="402" t="s">
        <v>935</v>
      </c>
      <c r="D11" s="394" t="s">
        <v>911</v>
      </c>
      <c r="E11" s="394" t="s">
        <v>1001</v>
      </c>
      <c r="F11" s="394" t="s">
        <v>1549</v>
      </c>
      <c r="G11" s="400"/>
    </row>
    <row r="12" spans="1:7" ht="36">
      <c r="A12" s="89" t="s">
        <v>86</v>
      </c>
      <c r="B12" s="88" t="s">
        <v>882</v>
      </c>
      <c r="C12" s="402" t="s">
        <v>935</v>
      </c>
      <c r="D12" s="394" t="s">
        <v>911</v>
      </c>
      <c r="E12" s="394" t="s">
        <v>1001</v>
      </c>
      <c r="F12" s="394" t="s">
        <v>1549</v>
      </c>
      <c r="G12" s="400"/>
    </row>
    <row r="13" spans="1:7" ht="36">
      <c r="A13" s="89" t="s">
        <v>87</v>
      </c>
      <c r="B13" s="88" t="s">
        <v>883</v>
      </c>
      <c r="C13" s="402" t="s">
        <v>935</v>
      </c>
      <c r="D13" s="394" t="s">
        <v>911</v>
      </c>
      <c r="E13" s="394" t="s">
        <v>1001</v>
      </c>
      <c r="F13" s="394" t="s">
        <v>936</v>
      </c>
      <c r="G13" s="400"/>
    </row>
    <row r="14" spans="1:7" ht="36">
      <c r="A14" s="89" t="s">
        <v>88</v>
      </c>
      <c r="B14" s="88" t="s">
        <v>884</v>
      </c>
      <c r="C14" s="402" t="s">
        <v>935</v>
      </c>
      <c r="D14" s="394" t="s">
        <v>911</v>
      </c>
      <c r="E14" s="394" t="s">
        <v>1001</v>
      </c>
      <c r="F14" s="394" t="s">
        <v>936</v>
      </c>
      <c r="G14" s="400"/>
    </row>
    <row r="15" spans="1:7" ht="30">
      <c r="A15" s="387" t="s">
        <v>89</v>
      </c>
      <c r="B15" s="399" t="s">
        <v>533</v>
      </c>
      <c r="C15" s="393"/>
      <c r="D15" s="394"/>
      <c r="E15" s="394"/>
      <c r="F15" s="394"/>
      <c r="G15" s="400"/>
    </row>
    <row r="16" spans="1:7" ht="30">
      <c r="A16" s="387" t="s">
        <v>90</v>
      </c>
      <c r="B16" s="399" t="s">
        <v>534</v>
      </c>
      <c r="C16" s="393"/>
      <c r="D16" s="394"/>
      <c r="E16" s="394"/>
      <c r="F16" s="394"/>
      <c r="G16" s="400"/>
    </row>
    <row r="17" spans="1:7" ht="36">
      <c r="A17" s="89" t="s">
        <v>95</v>
      </c>
      <c r="B17" s="88" t="s">
        <v>657</v>
      </c>
      <c r="C17" s="393"/>
      <c r="D17" s="394" t="s">
        <v>937</v>
      </c>
      <c r="E17" s="394" t="s">
        <v>1018</v>
      </c>
      <c r="F17" s="394" t="s">
        <v>1550</v>
      </c>
      <c r="G17" s="400"/>
    </row>
    <row r="18" spans="1:7" ht="36">
      <c r="A18" s="89" t="s">
        <v>96</v>
      </c>
      <c r="B18" s="88" t="s">
        <v>535</v>
      </c>
      <c r="C18" s="393"/>
      <c r="D18" s="394" t="s">
        <v>937</v>
      </c>
      <c r="E18" s="394" t="s">
        <v>1018</v>
      </c>
      <c r="F18" s="394" t="s">
        <v>1550</v>
      </c>
      <c r="G18" s="400"/>
    </row>
    <row r="19" spans="1:7" ht="36">
      <c r="A19" s="89" t="s">
        <v>97</v>
      </c>
      <c r="B19" s="88" t="s">
        <v>536</v>
      </c>
      <c r="C19" s="393"/>
      <c r="D19" s="394" t="s">
        <v>937</v>
      </c>
      <c r="E19" s="394" t="s">
        <v>1018</v>
      </c>
      <c r="F19" s="394" t="s">
        <v>1550</v>
      </c>
      <c r="G19" s="400"/>
    </row>
    <row r="20" spans="1:7" ht="30">
      <c r="A20" s="89" t="s">
        <v>164</v>
      </c>
      <c r="B20" s="88" t="s">
        <v>537</v>
      </c>
      <c r="C20" s="393"/>
      <c r="D20" s="394" t="s">
        <v>911</v>
      </c>
      <c r="E20" s="394" t="s">
        <v>1002</v>
      </c>
      <c r="F20" s="394" t="s">
        <v>961</v>
      </c>
      <c r="G20" s="400"/>
    </row>
    <row r="21" spans="1:7" ht="30">
      <c r="A21" s="89" t="s">
        <v>165</v>
      </c>
      <c r="B21" s="88" t="s">
        <v>538</v>
      </c>
      <c r="C21" s="393"/>
      <c r="D21" s="394" t="s">
        <v>911</v>
      </c>
      <c r="E21" s="394" t="s">
        <v>1002</v>
      </c>
      <c r="F21" s="394" t="s">
        <v>961</v>
      </c>
      <c r="G21" s="400"/>
    </row>
    <row r="22" spans="1:7" ht="36">
      <c r="A22" s="89" t="s">
        <v>166</v>
      </c>
      <c r="B22" s="88" t="s">
        <v>539</v>
      </c>
      <c r="C22" s="393"/>
      <c r="D22" s="394" t="s">
        <v>911</v>
      </c>
      <c r="E22" s="394" t="s">
        <v>1011</v>
      </c>
      <c r="F22" s="394" t="s">
        <v>977</v>
      </c>
      <c r="G22" s="400"/>
    </row>
    <row r="23" spans="1:7" ht="36">
      <c r="A23" s="89" t="s">
        <v>171</v>
      </c>
      <c r="B23" s="88" t="s">
        <v>540</v>
      </c>
      <c r="C23" s="393"/>
      <c r="D23" s="394" t="s">
        <v>911</v>
      </c>
      <c r="E23" s="394" t="s">
        <v>1011</v>
      </c>
      <c r="F23" s="394" t="s">
        <v>977</v>
      </c>
      <c r="G23" s="400"/>
    </row>
    <row r="24" spans="1:7" ht="36">
      <c r="A24" s="89" t="s">
        <v>172</v>
      </c>
      <c r="B24" s="88" t="s">
        <v>541</v>
      </c>
      <c r="C24" s="393"/>
      <c r="D24" s="394" t="s">
        <v>911</v>
      </c>
      <c r="E24" s="394" t="s">
        <v>1011</v>
      </c>
      <c r="F24" s="394" t="s">
        <v>977</v>
      </c>
      <c r="G24" s="400"/>
    </row>
    <row r="25" spans="1:7" ht="36">
      <c r="A25" s="89" t="s">
        <v>184</v>
      </c>
      <c r="B25" s="88" t="s">
        <v>542</v>
      </c>
      <c r="C25" s="393"/>
      <c r="D25" s="394" t="s">
        <v>911</v>
      </c>
      <c r="E25" s="394" t="s">
        <v>1011</v>
      </c>
      <c r="F25" s="394" t="s">
        <v>977</v>
      </c>
      <c r="G25" s="400"/>
    </row>
    <row r="26" spans="1:7" ht="36">
      <c r="A26" s="89" t="s">
        <v>185</v>
      </c>
      <c r="B26" s="88" t="s">
        <v>543</v>
      </c>
      <c r="C26" s="393"/>
      <c r="D26" s="394" t="s">
        <v>911</v>
      </c>
      <c r="E26" s="394" t="s">
        <v>1011</v>
      </c>
      <c r="F26" s="394" t="s">
        <v>977</v>
      </c>
      <c r="G26" s="400"/>
    </row>
    <row r="27" spans="1:7" ht="36">
      <c r="A27" s="89" t="s">
        <v>186</v>
      </c>
      <c r="B27" s="88" t="s">
        <v>544</v>
      </c>
      <c r="C27" s="393"/>
      <c r="D27" s="394" t="s">
        <v>911</v>
      </c>
      <c r="E27" s="394" t="s">
        <v>1011</v>
      </c>
      <c r="F27" s="394" t="s">
        <v>977</v>
      </c>
      <c r="G27" s="400"/>
    </row>
    <row r="28" spans="1:7" ht="36">
      <c r="A28" s="89" t="s">
        <v>187</v>
      </c>
      <c r="B28" s="88" t="s">
        <v>545</v>
      </c>
      <c r="C28" s="393"/>
      <c r="D28" s="394" t="s">
        <v>911</v>
      </c>
      <c r="E28" s="394" t="s">
        <v>1011</v>
      </c>
      <c r="F28" s="394" t="s">
        <v>977</v>
      </c>
      <c r="G28" s="400"/>
    </row>
    <row r="29" spans="1:7" ht="15">
      <c r="A29" s="89"/>
      <c r="B29" s="88"/>
      <c r="C29" s="393"/>
      <c r="D29" s="394"/>
      <c r="E29" s="394"/>
      <c r="F29" s="394"/>
      <c r="G29" s="400"/>
    </row>
    <row r="30" spans="1:7" ht="15">
      <c r="A30" s="387" t="s">
        <v>7</v>
      </c>
      <c r="B30" s="399" t="s">
        <v>526</v>
      </c>
      <c r="C30" s="393"/>
      <c r="D30" s="394"/>
      <c r="E30" s="394"/>
      <c r="F30" s="394"/>
      <c r="G30" s="400"/>
    </row>
    <row r="31" spans="1:7" ht="36">
      <c r="A31" s="89" t="s">
        <v>546</v>
      </c>
      <c r="B31" s="88" t="s">
        <v>547</v>
      </c>
      <c r="C31" s="393"/>
      <c r="D31" s="394" t="s">
        <v>937</v>
      </c>
      <c r="E31" s="394" t="s">
        <v>1012</v>
      </c>
      <c r="F31" s="394" t="s">
        <v>1000</v>
      </c>
      <c r="G31" s="400"/>
    </row>
    <row r="32" spans="1:7" ht="30">
      <c r="A32" s="89" t="s">
        <v>548</v>
      </c>
      <c r="B32" s="88" t="s">
        <v>549</v>
      </c>
      <c r="C32" s="393"/>
      <c r="D32" s="394" t="s">
        <v>937</v>
      </c>
      <c r="E32" s="394" t="s">
        <v>1013</v>
      </c>
      <c r="F32" s="394" t="s">
        <v>1000</v>
      </c>
      <c r="G32" s="400"/>
    </row>
    <row r="33" spans="1:7" ht="36">
      <c r="A33" s="89" t="s">
        <v>550</v>
      </c>
      <c r="B33" s="88" t="s">
        <v>551</v>
      </c>
      <c r="C33" s="393"/>
      <c r="D33" s="394" t="s">
        <v>937</v>
      </c>
      <c r="E33" s="394" t="s">
        <v>1003</v>
      </c>
      <c r="F33" s="394" t="s">
        <v>962</v>
      </c>
      <c r="G33" s="400"/>
    </row>
    <row r="34" spans="1:7" ht="24">
      <c r="A34" s="89" t="s">
        <v>552</v>
      </c>
      <c r="B34" s="88" t="s">
        <v>553</v>
      </c>
      <c r="C34" s="393"/>
      <c r="D34" s="394" t="s">
        <v>937</v>
      </c>
      <c r="E34" s="394" t="s">
        <v>1547</v>
      </c>
      <c r="F34" s="394" t="s">
        <v>978</v>
      </c>
      <c r="G34" s="400"/>
    </row>
    <row r="35" spans="1:7" ht="24">
      <c r="A35" s="89" t="s">
        <v>658</v>
      </c>
      <c r="B35" s="88" t="s">
        <v>840</v>
      </c>
      <c r="C35" s="393"/>
      <c r="D35" s="394" t="s">
        <v>937</v>
      </c>
      <c r="E35" s="394" t="s">
        <v>1547</v>
      </c>
      <c r="F35" s="394" t="s">
        <v>978</v>
      </c>
      <c r="G35" s="400"/>
    </row>
    <row r="36" spans="1:7" ht="30">
      <c r="A36" s="89" t="s">
        <v>659</v>
      </c>
      <c r="B36" s="88" t="s">
        <v>841</v>
      </c>
      <c r="C36" s="920" t="s">
        <v>1036</v>
      </c>
      <c r="D36" s="394" t="s">
        <v>937</v>
      </c>
      <c r="E36" s="394" t="s">
        <v>1547</v>
      </c>
      <c r="F36" s="394" t="s">
        <v>978</v>
      </c>
      <c r="G36" s="400"/>
    </row>
    <row r="37" spans="1:7" ht="24">
      <c r="A37" s="89" t="s">
        <v>660</v>
      </c>
      <c r="B37" s="88" t="s">
        <v>842</v>
      </c>
      <c r="C37" s="920"/>
      <c r="D37" s="394" t="s">
        <v>937</v>
      </c>
      <c r="E37" s="394" t="s">
        <v>1547</v>
      </c>
      <c r="F37" s="394" t="s">
        <v>978</v>
      </c>
      <c r="G37" s="400"/>
    </row>
    <row r="38" spans="1:7" ht="36">
      <c r="A38" s="89" t="s">
        <v>703</v>
      </c>
      <c r="B38" s="88" t="s">
        <v>1037</v>
      </c>
      <c r="C38" s="920"/>
      <c r="D38" s="394" t="s">
        <v>937</v>
      </c>
      <c r="E38" s="394" t="s">
        <v>1551</v>
      </c>
      <c r="F38" s="394" t="s">
        <v>978</v>
      </c>
      <c r="G38" s="400"/>
    </row>
    <row r="39" spans="1:7" ht="36">
      <c r="A39" s="89" t="s">
        <v>843</v>
      </c>
      <c r="B39" s="88" t="s">
        <v>848</v>
      </c>
      <c r="C39" s="920"/>
      <c r="D39" s="394" t="s">
        <v>937</v>
      </c>
      <c r="E39" s="394" t="s">
        <v>1552</v>
      </c>
      <c r="F39" s="394" t="s">
        <v>978</v>
      </c>
      <c r="G39" s="400"/>
    </row>
    <row r="40" spans="1:7" ht="36">
      <c r="A40" s="89" t="s">
        <v>847</v>
      </c>
      <c r="B40" s="88" t="s">
        <v>849</v>
      </c>
      <c r="C40" s="920"/>
      <c r="D40" s="394" t="s">
        <v>937</v>
      </c>
      <c r="E40" s="394" t="s">
        <v>1553</v>
      </c>
      <c r="F40" s="394" t="s">
        <v>978</v>
      </c>
      <c r="G40" s="400"/>
    </row>
    <row r="41" spans="1:7" ht="36">
      <c r="A41" s="89" t="s">
        <v>850</v>
      </c>
      <c r="B41" s="88" t="s">
        <v>1038</v>
      </c>
      <c r="C41" s="920"/>
      <c r="D41" s="394" t="s">
        <v>937</v>
      </c>
      <c r="E41" s="394" t="s">
        <v>1554</v>
      </c>
      <c r="F41" s="394" t="s">
        <v>978</v>
      </c>
      <c r="G41" s="400"/>
    </row>
    <row r="42" spans="1:7" ht="36">
      <c r="A42" s="89" t="s">
        <v>851</v>
      </c>
      <c r="B42" s="88" t="s">
        <v>852</v>
      </c>
      <c r="C42" s="393" t="s">
        <v>940</v>
      </c>
      <c r="D42" s="394" t="s">
        <v>937</v>
      </c>
      <c r="E42" s="394" t="s">
        <v>1555</v>
      </c>
      <c r="F42" s="394" t="s">
        <v>978</v>
      </c>
      <c r="G42" s="400"/>
    </row>
    <row r="43" spans="1:7" ht="15">
      <c r="A43" s="89"/>
      <c r="B43" s="88"/>
      <c r="C43" s="393"/>
      <c r="D43" s="394"/>
      <c r="E43" s="394"/>
      <c r="F43" s="394"/>
      <c r="G43" s="400"/>
    </row>
    <row r="44" spans="1:7" ht="15">
      <c r="A44" s="387" t="s">
        <v>35</v>
      </c>
      <c r="B44" s="399" t="s">
        <v>4</v>
      </c>
      <c r="C44" s="393"/>
      <c r="D44" s="394"/>
      <c r="E44" s="404"/>
      <c r="F44" s="394"/>
      <c r="G44" s="400"/>
    </row>
    <row r="45" spans="1:7" ht="30">
      <c r="A45" s="387" t="s">
        <v>111</v>
      </c>
      <c r="B45" s="399" t="s">
        <v>1559</v>
      </c>
      <c r="C45" s="393"/>
      <c r="D45" s="394"/>
      <c r="E45" s="394"/>
      <c r="F45" s="394"/>
      <c r="G45" s="400"/>
    </row>
    <row r="46" spans="1:7" ht="36">
      <c r="A46" s="89" t="s">
        <v>43</v>
      </c>
      <c r="B46" s="88" t="s">
        <v>554</v>
      </c>
      <c r="C46" s="393"/>
      <c r="D46" s="394" t="s">
        <v>911</v>
      </c>
      <c r="E46" s="394" t="s">
        <v>979</v>
      </c>
      <c r="F46" s="394" t="s">
        <v>941</v>
      </c>
      <c r="G46" s="400"/>
    </row>
    <row r="47" spans="1:7" ht="36">
      <c r="A47" s="89" t="s">
        <v>44</v>
      </c>
      <c r="B47" s="88" t="s">
        <v>555</v>
      </c>
      <c r="C47" s="393"/>
      <c r="D47" s="394" t="s">
        <v>911</v>
      </c>
      <c r="E47" s="394" t="s">
        <v>994</v>
      </c>
      <c r="F47" s="394" t="s">
        <v>941</v>
      </c>
      <c r="G47" s="400"/>
    </row>
    <row r="48" spans="1:7" ht="30">
      <c r="A48" s="89" t="s">
        <v>45</v>
      </c>
      <c r="B48" s="88" t="s">
        <v>661</v>
      </c>
      <c r="C48" s="393"/>
      <c r="D48" s="394" t="s">
        <v>911</v>
      </c>
      <c r="E48" s="394" t="s">
        <v>980</v>
      </c>
      <c r="F48" s="394" t="s">
        <v>941</v>
      </c>
      <c r="G48" s="400"/>
    </row>
    <row r="49" spans="1:7" ht="30">
      <c r="A49" s="89" t="s">
        <v>46</v>
      </c>
      <c r="B49" s="88" t="s">
        <v>1128</v>
      </c>
      <c r="C49" s="393"/>
      <c r="D49" s="394" t="s">
        <v>913</v>
      </c>
      <c r="E49" s="394" t="s">
        <v>1133</v>
      </c>
      <c r="F49" s="394"/>
      <c r="G49" s="400"/>
    </row>
    <row r="50" spans="1:7" ht="30">
      <c r="A50" s="89" t="s">
        <v>47</v>
      </c>
      <c r="B50" s="88" t="s">
        <v>1127</v>
      </c>
      <c r="C50" s="393"/>
      <c r="D50" s="394" t="s">
        <v>913</v>
      </c>
      <c r="E50" s="394" t="s">
        <v>1133</v>
      </c>
      <c r="F50" s="394"/>
      <c r="G50" s="400"/>
    </row>
    <row r="51" spans="1:7" ht="30">
      <c r="A51" s="89" t="s">
        <v>48</v>
      </c>
      <c r="B51" s="88" t="s">
        <v>1129</v>
      </c>
      <c r="C51" s="393"/>
      <c r="D51" s="394" t="s">
        <v>913</v>
      </c>
      <c r="E51" s="394" t="s">
        <v>1133</v>
      </c>
      <c r="F51" s="394"/>
      <c r="G51" s="400"/>
    </row>
    <row r="52" spans="1:7" ht="72">
      <c r="A52" s="89" t="s">
        <v>49</v>
      </c>
      <c r="B52" s="88" t="s">
        <v>1130</v>
      </c>
      <c r="C52" s="393"/>
      <c r="D52" s="394" t="s">
        <v>913</v>
      </c>
      <c r="E52" s="394" t="s">
        <v>1134</v>
      </c>
      <c r="F52" s="394"/>
      <c r="G52" s="400"/>
    </row>
    <row r="53" spans="1:7" ht="144">
      <c r="A53" s="89" t="s">
        <v>50</v>
      </c>
      <c r="B53" s="88" t="s">
        <v>1131</v>
      </c>
      <c r="C53" s="394" t="s">
        <v>1160</v>
      </c>
      <c r="D53" s="394" t="s">
        <v>1162</v>
      </c>
      <c r="E53" s="394" t="s">
        <v>1136</v>
      </c>
      <c r="F53" s="394"/>
      <c r="G53" s="400"/>
    </row>
    <row r="54" spans="1:7" ht="132">
      <c r="A54" s="89" t="s">
        <v>100</v>
      </c>
      <c r="B54" s="88" t="s">
        <v>1132</v>
      </c>
      <c r="C54" s="394" t="s">
        <v>1161</v>
      </c>
      <c r="D54" s="394" t="s">
        <v>1163</v>
      </c>
      <c r="E54" s="394" t="s">
        <v>1137</v>
      </c>
      <c r="F54" s="394"/>
      <c r="G54" s="400"/>
    </row>
    <row r="55" spans="1:7" ht="24">
      <c r="A55" s="89" t="s">
        <v>101</v>
      </c>
      <c r="B55" s="88" t="s">
        <v>556</v>
      </c>
      <c r="C55" s="393"/>
      <c r="D55" s="394" t="s">
        <v>942</v>
      </c>
      <c r="E55" s="394" t="s">
        <v>981</v>
      </c>
      <c r="F55" s="394" t="s">
        <v>982</v>
      </c>
      <c r="G55" s="400"/>
    </row>
    <row r="56" spans="1:7" ht="15">
      <c r="A56" s="89" t="s">
        <v>102</v>
      </c>
      <c r="B56" s="88" t="s">
        <v>557</v>
      </c>
      <c r="C56" s="393"/>
      <c r="D56" s="394" t="s">
        <v>942</v>
      </c>
      <c r="E56" s="394" t="s">
        <v>963</v>
      </c>
      <c r="F56" s="394"/>
      <c r="G56" s="400"/>
    </row>
    <row r="57" spans="1:7" ht="24">
      <c r="A57" s="387" t="s">
        <v>880</v>
      </c>
      <c r="B57" s="88" t="s">
        <v>1514</v>
      </c>
      <c r="C57" s="394" t="s">
        <v>1512</v>
      </c>
      <c r="D57" s="394"/>
      <c r="E57" s="394" t="s">
        <v>1557</v>
      </c>
      <c r="F57" s="394"/>
      <c r="G57" s="400"/>
    </row>
    <row r="58" spans="1:7" ht="24">
      <c r="A58" s="387" t="s">
        <v>1143</v>
      </c>
      <c r="B58" s="88" t="s">
        <v>1515</v>
      </c>
      <c r="C58" s="394" t="s">
        <v>1513</v>
      </c>
      <c r="D58" s="394"/>
      <c r="E58" s="394" t="s">
        <v>1558</v>
      </c>
      <c r="F58" s="394"/>
      <c r="G58" s="400"/>
    </row>
    <row r="59" spans="1:7" ht="15">
      <c r="A59" s="387" t="s">
        <v>1157</v>
      </c>
      <c r="B59" s="88" t="s">
        <v>1516</v>
      </c>
      <c r="C59" s="393"/>
      <c r="D59" s="394"/>
      <c r="E59" s="394"/>
      <c r="F59" s="394"/>
      <c r="G59" s="400"/>
    </row>
    <row r="60" spans="1:7" ht="24">
      <c r="A60" s="387" t="s">
        <v>1158</v>
      </c>
      <c r="B60" s="88" t="s">
        <v>1517</v>
      </c>
      <c r="C60" s="394" t="s">
        <v>1513</v>
      </c>
      <c r="D60" s="394"/>
      <c r="E60" s="394" t="s">
        <v>1558</v>
      </c>
      <c r="F60" s="394"/>
      <c r="G60" s="400"/>
    </row>
    <row r="61" spans="1:7" ht="45">
      <c r="A61" s="387" t="s">
        <v>1159</v>
      </c>
      <c r="B61" s="399" t="s">
        <v>662</v>
      </c>
      <c r="C61" s="393"/>
      <c r="D61" s="394"/>
      <c r="E61" s="394"/>
      <c r="F61" s="394"/>
      <c r="G61" s="400"/>
    </row>
    <row r="62" spans="1:7" ht="30">
      <c r="A62" s="387" t="s">
        <v>1261</v>
      </c>
      <c r="B62" s="399" t="s">
        <v>1518</v>
      </c>
      <c r="C62" s="393"/>
      <c r="D62" s="394"/>
      <c r="E62" s="394"/>
      <c r="F62" s="394"/>
      <c r="G62" s="400"/>
    </row>
    <row r="63" spans="1:7" ht="30">
      <c r="A63" s="387" t="s">
        <v>1262</v>
      </c>
      <c r="B63" s="399" t="s">
        <v>558</v>
      </c>
      <c r="C63" s="393"/>
      <c r="D63" s="394"/>
      <c r="E63" s="394"/>
      <c r="F63" s="394"/>
      <c r="G63" s="400"/>
    </row>
    <row r="64" spans="1:7" ht="15">
      <c r="A64" s="387" t="s">
        <v>51</v>
      </c>
      <c r="B64" s="399" t="s">
        <v>559</v>
      </c>
      <c r="C64" s="393"/>
      <c r="D64" s="394"/>
      <c r="E64" s="394"/>
      <c r="F64" s="394"/>
      <c r="G64" s="400"/>
    </row>
    <row r="65" spans="1:7" ht="15">
      <c r="A65" s="387" t="s">
        <v>309</v>
      </c>
      <c r="B65" s="399" t="s">
        <v>560</v>
      </c>
      <c r="C65" s="393"/>
      <c r="D65" s="394"/>
      <c r="E65" s="394"/>
      <c r="F65" s="394"/>
      <c r="G65" s="400"/>
    </row>
    <row r="66" spans="1:7" ht="45">
      <c r="A66" s="89" t="s">
        <v>43</v>
      </c>
      <c r="B66" s="88" t="s">
        <v>1519</v>
      </c>
      <c r="C66" s="402" t="s">
        <v>1618</v>
      </c>
      <c r="D66" s="394"/>
      <c r="E66" s="394" t="s">
        <v>1584</v>
      </c>
      <c r="F66" s="394"/>
      <c r="G66" s="400"/>
    </row>
    <row r="67" spans="1:7" ht="24">
      <c r="A67" s="89" t="s">
        <v>44</v>
      </c>
      <c r="B67" s="88" t="s">
        <v>666</v>
      </c>
      <c r="C67" s="393"/>
      <c r="D67" s="394" t="s">
        <v>110</v>
      </c>
      <c r="E67" s="394" t="s">
        <v>983</v>
      </c>
      <c r="F67" s="394" t="s">
        <v>964</v>
      </c>
      <c r="G67" s="400"/>
    </row>
    <row r="68" spans="1:7" ht="36">
      <c r="A68" s="89" t="s">
        <v>45</v>
      </c>
      <c r="B68" s="88" t="s">
        <v>663</v>
      </c>
      <c r="C68" s="393"/>
      <c r="D68" s="394" t="s">
        <v>943</v>
      </c>
      <c r="E68" s="394" t="s">
        <v>1004</v>
      </c>
      <c r="F68" s="394" t="s">
        <v>984</v>
      </c>
      <c r="G68" s="400"/>
    </row>
    <row r="69" spans="1:7" ht="36">
      <c r="A69" s="89" t="s">
        <v>46</v>
      </c>
      <c r="B69" s="88" t="s">
        <v>664</v>
      </c>
      <c r="C69" s="393"/>
      <c r="D69" s="394" t="s">
        <v>110</v>
      </c>
      <c r="E69" s="394" t="s">
        <v>1039</v>
      </c>
      <c r="F69" s="394"/>
      <c r="G69" s="400"/>
    </row>
    <row r="70" spans="1:7" ht="36">
      <c r="A70" s="89" t="s">
        <v>47</v>
      </c>
      <c r="B70" s="88" t="s">
        <v>665</v>
      </c>
      <c r="C70" s="393"/>
      <c r="D70" s="394" t="s">
        <v>943</v>
      </c>
      <c r="E70" s="394" t="s">
        <v>1005</v>
      </c>
      <c r="F70" s="394" t="s">
        <v>984</v>
      </c>
      <c r="G70" s="400"/>
    </row>
    <row r="71" spans="1:7" ht="15">
      <c r="A71" s="89"/>
      <c r="B71" s="88"/>
      <c r="C71" s="393"/>
      <c r="D71" s="394"/>
      <c r="E71" s="394"/>
      <c r="F71" s="394"/>
      <c r="G71" s="400"/>
    </row>
    <row r="72" spans="1:7" ht="30">
      <c r="A72" s="387" t="s">
        <v>1520</v>
      </c>
      <c r="B72" s="399" t="s">
        <v>561</v>
      </c>
      <c r="C72" s="393"/>
      <c r="D72" s="394"/>
      <c r="E72" s="394"/>
      <c r="F72" s="394"/>
      <c r="G72" s="400"/>
    </row>
    <row r="73" spans="1:7" ht="45">
      <c r="A73" s="89" t="s">
        <v>43</v>
      </c>
      <c r="B73" s="88" t="s">
        <v>1519</v>
      </c>
      <c r="C73" s="402" t="s">
        <v>1618</v>
      </c>
      <c r="D73" s="394"/>
      <c r="E73" s="394" t="s">
        <v>1584</v>
      </c>
      <c r="F73" s="394"/>
      <c r="G73" s="400"/>
    </row>
    <row r="74" spans="1:7" ht="24">
      <c r="A74" s="89" t="s">
        <v>44</v>
      </c>
      <c r="B74" s="88" t="s">
        <v>668</v>
      </c>
      <c r="C74" s="393"/>
      <c r="D74" s="394" t="s">
        <v>110</v>
      </c>
      <c r="E74" s="394" t="s">
        <v>983</v>
      </c>
      <c r="F74" s="394" t="s">
        <v>985</v>
      </c>
      <c r="G74" s="400"/>
    </row>
    <row r="75" spans="1:7" ht="48">
      <c r="A75" s="89" t="s">
        <v>45</v>
      </c>
      <c r="B75" s="88" t="s">
        <v>667</v>
      </c>
      <c r="C75" s="393"/>
      <c r="D75" s="394" t="s">
        <v>943</v>
      </c>
      <c r="E75" s="394" t="s">
        <v>1006</v>
      </c>
      <c r="F75" s="394" t="s">
        <v>965</v>
      </c>
      <c r="G75" s="400"/>
    </row>
    <row r="76" spans="1:7" ht="36">
      <c r="A76" s="89" t="s">
        <v>46</v>
      </c>
      <c r="B76" s="88" t="s">
        <v>562</v>
      </c>
      <c r="C76" s="393"/>
      <c r="D76" s="394" t="s">
        <v>943</v>
      </c>
      <c r="E76" s="394" t="s">
        <v>1563</v>
      </c>
      <c r="F76" s="394" t="s">
        <v>986</v>
      </c>
      <c r="G76" s="400"/>
    </row>
    <row r="77" spans="1:7" ht="15">
      <c r="A77" s="89" t="s">
        <v>47</v>
      </c>
      <c r="B77" s="88" t="s">
        <v>669</v>
      </c>
      <c r="C77" s="393"/>
      <c r="D77" s="394" t="s">
        <v>110</v>
      </c>
      <c r="E77" s="394" t="s">
        <v>966</v>
      </c>
      <c r="F77" s="394" t="s">
        <v>967</v>
      </c>
      <c r="G77" s="400"/>
    </row>
    <row r="78" spans="1:7" ht="36">
      <c r="A78" s="89" t="s">
        <v>48</v>
      </c>
      <c r="B78" s="88" t="s">
        <v>670</v>
      </c>
      <c r="C78" s="393"/>
      <c r="D78" s="394" t="s">
        <v>943</v>
      </c>
      <c r="E78" s="394" t="s">
        <v>1564</v>
      </c>
      <c r="F78" s="394" t="s">
        <v>995</v>
      </c>
      <c r="G78" s="400"/>
    </row>
    <row r="79" spans="1:7" ht="36">
      <c r="A79" s="89" t="s">
        <v>49</v>
      </c>
      <c r="B79" s="88" t="s">
        <v>1606</v>
      </c>
      <c r="C79" s="393"/>
      <c r="D79" s="394" t="s">
        <v>943</v>
      </c>
      <c r="E79" s="394" t="s">
        <v>1564</v>
      </c>
      <c r="F79" s="394" t="s">
        <v>995</v>
      </c>
      <c r="G79" s="400"/>
    </row>
    <row r="80" spans="1:7" ht="48">
      <c r="A80" s="89" t="s">
        <v>50</v>
      </c>
      <c r="B80" s="88" t="s">
        <v>909</v>
      </c>
      <c r="C80" s="393"/>
      <c r="D80" s="394" t="s">
        <v>944</v>
      </c>
      <c r="E80" s="394" t="s">
        <v>1561</v>
      </c>
      <c r="F80" s="394" t="s">
        <v>987</v>
      </c>
      <c r="G80" s="400"/>
    </row>
    <row r="81" spans="1:7" ht="48">
      <c r="A81" s="89" t="s">
        <v>100</v>
      </c>
      <c r="B81" s="88" t="s">
        <v>907</v>
      </c>
      <c r="C81" s="393"/>
      <c r="D81" s="394" t="s">
        <v>944</v>
      </c>
      <c r="E81" s="394" t="s">
        <v>1561</v>
      </c>
      <c r="F81" s="394" t="s">
        <v>987</v>
      </c>
      <c r="G81" s="400"/>
    </row>
    <row r="82" spans="1:7" ht="48">
      <c r="A82" s="89" t="s">
        <v>101</v>
      </c>
      <c r="B82" s="88" t="s">
        <v>908</v>
      </c>
      <c r="C82" s="393"/>
      <c r="D82" s="394" t="s">
        <v>944</v>
      </c>
      <c r="E82" s="394" t="s">
        <v>1561</v>
      </c>
      <c r="F82" s="394" t="s">
        <v>987</v>
      </c>
      <c r="G82" s="400"/>
    </row>
    <row r="83" spans="1:7" ht="30">
      <c r="A83" s="387" t="s">
        <v>102</v>
      </c>
      <c r="B83" s="399" t="s">
        <v>1521</v>
      </c>
      <c r="C83" s="393"/>
      <c r="D83" s="394"/>
      <c r="E83" s="394"/>
      <c r="F83" s="394"/>
      <c r="G83" s="400"/>
    </row>
    <row r="84" spans="1:7" s="408" customFormat="1" ht="45">
      <c r="A84" s="387" t="s">
        <v>880</v>
      </c>
      <c r="B84" s="399" t="s">
        <v>945</v>
      </c>
      <c r="C84" s="405" t="s">
        <v>716</v>
      </c>
      <c r="D84" s="406"/>
      <c r="E84" s="406"/>
      <c r="F84" s="406"/>
      <c r="G84" s="407"/>
    </row>
    <row r="85" spans="1:7" s="408" customFormat="1" ht="30">
      <c r="A85" s="387" t="s">
        <v>1143</v>
      </c>
      <c r="B85" s="399" t="s">
        <v>946</v>
      </c>
      <c r="C85" s="405" t="s">
        <v>947</v>
      </c>
      <c r="D85" s="406"/>
      <c r="E85" s="406"/>
      <c r="F85" s="406"/>
      <c r="G85" s="407"/>
    </row>
    <row r="86" spans="1:7" s="408" customFormat="1" ht="60">
      <c r="A86" s="387" t="s">
        <v>1157</v>
      </c>
      <c r="B86" s="399" t="s">
        <v>737</v>
      </c>
      <c r="C86" s="405"/>
      <c r="D86" s="406"/>
      <c r="E86" s="406"/>
      <c r="F86" s="406"/>
      <c r="G86" s="407"/>
    </row>
    <row r="87" spans="1:7" s="408" customFormat="1" ht="15">
      <c r="A87" s="387" t="s">
        <v>1257</v>
      </c>
      <c r="B87" s="399" t="s">
        <v>1522</v>
      </c>
      <c r="C87" s="405"/>
      <c r="D87" s="406"/>
      <c r="E87" s="406"/>
      <c r="F87" s="406"/>
      <c r="G87" s="407"/>
    </row>
    <row r="88" spans="1:7" ht="15">
      <c r="A88" s="89"/>
      <c r="B88" s="88"/>
      <c r="C88" s="393"/>
      <c r="D88" s="394"/>
      <c r="E88" s="394"/>
      <c r="F88" s="394"/>
      <c r="G88" s="400"/>
    </row>
    <row r="89" spans="1:7" ht="15">
      <c r="A89" s="387" t="s">
        <v>312</v>
      </c>
      <c r="B89" s="399" t="s">
        <v>563</v>
      </c>
      <c r="C89" s="393"/>
      <c r="D89" s="394"/>
      <c r="E89" s="394"/>
      <c r="F89" s="394"/>
      <c r="G89" s="400"/>
    </row>
    <row r="90" spans="1:7" ht="24">
      <c r="A90" s="89" t="s">
        <v>43</v>
      </c>
      <c r="B90" s="88" t="s">
        <v>671</v>
      </c>
      <c r="C90" s="393"/>
      <c r="D90" s="394" t="s">
        <v>110</v>
      </c>
      <c r="E90" s="394" t="s">
        <v>983</v>
      </c>
      <c r="F90" s="394"/>
      <c r="G90" s="400"/>
    </row>
    <row r="91" spans="1:7" ht="48">
      <c r="A91" s="89" t="s">
        <v>44</v>
      </c>
      <c r="B91" s="88" t="s">
        <v>564</v>
      </c>
      <c r="C91" s="393"/>
      <c r="D91" s="394" t="s">
        <v>944</v>
      </c>
      <c r="E91" s="394" t="s">
        <v>1560</v>
      </c>
      <c r="F91" s="394" t="s">
        <v>968</v>
      </c>
      <c r="G91" s="400"/>
    </row>
    <row r="92" spans="1:7" ht="48">
      <c r="A92" s="89" t="s">
        <v>45</v>
      </c>
      <c r="B92" s="88" t="s">
        <v>565</v>
      </c>
      <c r="C92" s="393"/>
      <c r="D92" s="394" t="s">
        <v>944</v>
      </c>
      <c r="E92" s="394" t="s">
        <v>1560</v>
      </c>
      <c r="F92" s="394" t="s">
        <v>995</v>
      </c>
      <c r="G92" s="400"/>
    </row>
    <row r="93" spans="1:7" ht="15">
      <c r="A93" s="89"/>
      <c r="B93" s="88"/>
      <c r="C93" s="393"/>
      <c r="D93" s="394"/>
      <c r="E93" s="394"/>
      <c r="F93" s="394"/>
      <c r="G93" s="400"/>
    </row>
    <row r="94" spans="1:7" ht="15">
      <c r="A94" s="387" t="s">
        <v>1487</v>
      </c>
      <c r="B94" s="399" t="s">
        <v>1523</v>
      </c>
      <c r="C94" s="393"/>
      <c r="D94" s="394"/>
      <c r="E94" s="394"/>
      <c r="F94" s="394"/>
      <c r="G94" s="400"/>
    </row>
    <row r="95" spans="1:7" ht="24">
      <c r="A95" s="89" t="s">
        <v>43</v>
      </c>
      <c r="B95" s="88" t="s">
        <v>1524</v>
      </c>
      <c r="C95" s="393"/>
      <c r="D95" s="394" t="s">
        <v>1525</v>
      </c>
      <c r="E95" s="394" t="s">
        <v>1526</v>
      </c>
      <c r="F95" s="394" t="s">
        <v>1527</v>
      </c>
      <c r="G95" s="400"/>
    </row>
    <row r="96" spans="1:7" ht="48">
      <c r="A96" s="89" t="s">
        <v>44</v>
      </c>
      <c r="B96" s="88" t="s">
        <v>1562</v>
      </c>
      <c r="C96" s="393"/>
      <c r="D96" s="394"/>
      <c r="E96" s="394" t="s">
        <v>1596</v>
      </c>
      <c r="F96" s="394" t="s">
        <v>1597</v>
      </c>
      <c r="G96" s="400"/>
    </row>
    <row r="97" spans="1:7" ht="48">
      <c r="A97" s="89" t="s">
        <v>45</v>
      </c>
      <c r="B97" s="88" t="s">
        <v>1528</v>
      </c>
      <c r="C97" s="393"/>
      <c r="D97" s="394" t="s">
        <v>1529</v>
      </c>
      <c r="E97" s="394" t="s">
        <v>1595</v>
      </c>
      <c r="F97" s="394" t="s">
        <v>1597</v>
      </c>
      <c r="G97" s="400"/>
    </row>
    <row r="98" spans="1:7" ht="15">
      <c r="A98" s="89" t="s">
        <v>46</v>
      </c>
      <c r="B98" s="88" t="s">
        <v>1530</v>
      </c>
      <c r="C98" s="393"/>
      <c r="D98" s="394"/>
      <c r="E98" s="394"/>
      <c r="F98" s="394"/>
      <c r="G98" s="400"/>
    </row>
    <row r="99" spans="1:7" ht="15">
      <c r="A99" s="89"/>
      <c r="B99" s="88"/>
      <c r="C99" s="393"/>
      <c r="D99" s="394"/>
      <c r="E99" s="394"/>
      <c r="F99" s="394"/>
      <c r="G99" s="400"/>
    </row>
    <row r="100" spans="1:7" ht="15">
      <c r="A100" s="387" t="s">
        <v>52</v>
      </c>
      <c r="B100" s="399" t="s">
        <v>566</v>
      </c>
      <c r="C100" s="393"/>
      <c r="D100" s="394"/>
      <c r="E100" s="394"/>
      <c r="F100" s="394"/>
      <c r="G100" s="400"/>
    </row>
    <row r="101" spans="1:7" ht="60">
      <c r="A101" s="89" t="s">
        <v>109</v>
      </c>
      <c r="B101" s="88" t="s">
        <v>567</v>
      </c>
      <c r="C101" s="393"/>
      <c r="D101" s="394" t="s">
        <v>943</v>
      </c>
      <c r="E101" s="394" t="s">
        <v>1567</v>
      </c>
      <c r="F101" s="394" t="s">
        <v>915</v>
      </c>
      <c r="G101" s="400"/>
    </row>
    <row r="102" spans="1:7" ht="48">
      <c r="A102" s="89" t="s">
        <v>112</v>
      </c>
      <c r="B102" s="88" t="s">
        <v>568</v>
      </c>
      <c r="C102" s="393"/>
      <c r="D102" s="394" t="s">
        <v>943</v>
      </c>
      <c r="E102" s="394" t="s">
        <v>1007</v>
      </c>
      <c r="F102" s="394" t="s">
        <v>969</v>
      </c>
      <c r="G102" s="400"/>
    </row>
    <row r="103" spans="1:7" ht="15">
      <c r="A103" s="89" t="s">
        <v>118</v>
      </c>
      <c r="B103" s="399" t="s">
        <v>696</v>
      </c>
      <c r="C103" s="393"/>
      <c r="D103" s="394"/>
      <c r="E103" s="394"/>
      <c r="F103" s="394"/>
      <c r="G103" s="400"/>
    </row>
    <row r="104" spans="1:7" ht="15">
      <c r="A104" s="387" t="s">
        <v>255</v>
      </c>
      <c r="B104" s="399" t="s">
        <v>569</v>
      </c>
      <c r="C104" s="393"/>
      <c r="D104" s="394"/>
      <c r="E104" s="394"/>
      <c r="F104" s="394"/>
      <c r="G104" s="400"/>
    </row>
    <row r="105" spans="1:7" ht="15">
      <c r="A105" s="387" t="s">
        <v>694</v>
      </c>
      <c r="B105" s="399" t="s">
        <v>570</v>
      </c>
      <c r="C105" s="393"/>
      <c r="D105" s="394"/>
      <c r="E105" s="394"/>
      <c r="F105" s="394"/>
      <c r="G105" s="400"/>
    </row>
    <row r="106" spans="1:7" ht="15">
      <c r="A106" s="89"/>
      <c r="B106" s="88"/>
      <c r="C106" s="393"/>
      <c r="D106" s="394"/>
      <c r="E106" s="394"/>
      <c r="F106" s="394"/>
      <c r="G106" s="400"/>
    </row>
    <row r="107" spans="1:7" ht="15">
      <c r="A107" s="387" t="s">
        <v>36</v>
      </c>
      <c r="B107" s="399" t="s">
        <v>571</v>
      </c>
      <c r="C107" s="393"/>
      <c r="D107" s="394"/>
      <c r="E107" s="394"/>
      <c r="F107" s="394"/>
      <c r="G107" s="400"/>
    </row>
    <row r="108" spans="1:7" ht="75">
      <c r="A108" s="387" t="s">
        <v>730</v>
      </c>
      <c r="B108" s="399" t="s">
        <v>731</v>
      </c>
      <c r="C108" s="393"/>
      <c r="D108" s="394"/>
      <c r="E108" s="394"/>
      <c r="F108" s="394"/>
      <c r="G108" s="400"/>
    </row>
    <row r="109" spans="1:7" ht="30">
      <c r="A109" s="89" t="s">
        <v>43</v>
      </c>
      <c r="B109" s="88" t="s">
        <v>906</v>
      </c>
      <c r="C109" s="393"/>
      <c r="D109" s="394" t="s">
        <v>110</v>
      </c>
      <c r="E109" s="394" t="s">
        <v>988</v>
      </c>
      <c r="F109" s="392"/>
      <c r="G109" s="400"/>
    </row>
    <row r="110" spans="1:7" ht="132">
      <c r="A110" s="89" t="s">
        <v>44</v>
      </c>
      <c r="B110" s="88" t="s">
        <v>672</v>
      </c>
      <c r="C110" s="925" t="s">
        <v>1508</v>
      </c>
      <c r="D110" s="394" t="s">
        <v>912</v>
      </c>
      <c r="E110" s="394" t="s">
        <v>1250</v>
      </c>
      <c r="F110" s="394" t="s">
        <v>989</v>
      </c>
      <c r="G110" s="400"/>
    </row>
    <row r="111" spans="1:7" ht="132">
      <c r="A111" s="89" t="s">
        <v>45</v>
      </c>
      <c r="B111" s="88" t="s">
        <v>673</v>
      </c>
      <c r="C111" s="926"/>
      <c r="D111" s="394" t="s">
        <v>912</v>
      </c>
      <c r="E111" s="394" t="s">
        <v>1250</v>
      </c>
      <c r="F111" s="394" t="s">
        <v>989</v>
      </c>
      <c r="G111" s="400"/>
    </row>
    <row r="112" spans="1:7" ht="24">
      <c r="A112" s="89" t="s">
        <v>46</v>
      </c>
      <c r="B112" s="88" t="s">
        <v>572</v>
      </c>
      <c r="C112" s="393"/>
      <c r="D112" s="394" t="s">
        <v>914</v>
      </c>
      <c r="E112" s="394" t="s">
        <v>1008</v>
      </c>
      <c r="F112" s="394" t="s">
        <v>970</v>
      </c>
      <c r="G112" s="400"/>
    </row>
    <row r="113" spans="1:7" ht="48">
      <c r="A113" s="89" t="s">
        <v>47</v>
      </c>
      <c r="B113" s="88" t="s">
        <v>1116</v>
      </c>
      <c r="C113" s="393"/>
      <c r="D113" s="394" t="s">
        <v>914</v>
      </c>
      <c r="E113" s="394" t="s">
        <v>1117</v>
      </c>
      <c r="F113" s="394" t="s">
        <v>989</v>
      </c>
      <c r="G113" s="400"/>
    </row>
    <row r="114" spans="1:7" ht="30">
      <c r="A114" s="89" t="s">
        <v>48</v>
      </c>
      <c r="B114" s="88" t="s">
        <v>573</v>
      </c>
      <c r="C114" s="393"/>
      <c r="D114" s="394" t="s">
        <v>916</v>
      </c>
      <c r="E114" s="394" t="s">
        <v>1556</v>
      </c>
      <c r="F114" s="394" t="s">
        <v>971</v>
      </c>
      <c r="G114" s="400"/>
    </row>
    <row r="115" spans="1:7" ht="24">
      <c r="A115" s="89" t="s">
        <v>49</v>
      </c>
      <c r="B115" s="88" t="s">
        <v>674</v>
      </c>
      <c r="C115" s="393"/>
      <c r="D115" s="394" t="s">
        <v>916</v>
      </c>
      <c r="E115" s="394" t="s">
        <v>1022</v>
      </c>
      <c r="F115" s="394" t="s">
        <v>990</v>
      </c>
      <c r="G115" s="400"/>
    </row>
    <row r="116" spans="1:7" ht="15">
      <c r="A116" s="387" t="s">
        <v>50</v>
      </c>
      <c r="B116" s="399" t="s">
        <v>574</v>
      </c>
      <c r="C116" s="393"/>
      <c r="D116" s="394"/>
      <c r="E116" s="394"/>
      <c r="F116" s="394"/>
      <c r="G116" s="400"/>
    </row>
    <row r="117" spans="1:7" ht="15">
      <c r="A117" s="387" t="s">
        <v>100</v>
      </c>
      <c r="B117" s="399" t="s">
        <v>575</v>
      </c>
      <c r="C117" s="393"/>
      <c r="D117" s="394"/>
      <c r="E117" s="394"/>
      <c r="F117" s="394"/>
      <c r="G117" s="400"/>
    </row>
    <row r="118" spans="1:7" ht="15">
      <c r="A118" s="387" t="s">
        <v>101</v>
      </c>
      <c r="B118" s="399" t="s">
        <v>576</v>
      </c>
      <c r="C118" s="393"/>
      <c r="D118" s="394"/>
      <c r="E118" s="394"/>
      <c r="F118" s="394"/>
      <c r="G118" s="400"/>
    </row>
    <row r="119" spans="1:7" ht="15">
      <c r="A119" s="89"/>
      <c r="B119" s="88"/>
      <c r="C119" s="393"/>
      <c r="D119" s="394"/>
      <c r="E119" s="394"/>
      <c r="F119" s="394"/>
      <c r="G119" s="400"/>
    </row>
    <row r="120" spans="1:7" ht="15">
      <c r="A120" s="387" t="s">
        <v>732</v>
      </c>
      <c r="B120" s="399" t="s">
        <v>577</v>
      </c>
      <c r="C120" s="393"/>
      <c r="D120" s="394"/>
      <c r="E120" s="394"/>
      <c r="F120" s="394"/>
      <c r="G120" s="400"/>
    </row>
    <row r="121" spans="1:7" ht="30">
      <c r="A121" s="89" t="s">
        <v>43</v>
      </c>
      <c r="B121" s="88" t="s">
        <v>906</v>
      </c>
      <c r="C121" s="393"/>
      <c r="D121" s="394" t="s">
        <v>913</v>
      </c>
      <c r="E121" s="394" t="s">
        <v>988</v>
      </c>
      <c r="F121" s="394"/>
      <c r="G121" s="400"/>
    </row>
    <row r="122" spans="1:7" ht="111" customHeight="1">
      <c r="A122" s="89" t="s">
        <v>44</v>
      </c>
      <c r="B122" s="88" t="s">
        <v>578</v>
      </c>
      <c r="C122" s="393"/>
      <c r="D122" s="394" t="s">
        <v>912</v>
      </c>
      <c r="E122" s="394" t="s">
        <v>1250</v>
      </c>
      <c r="F122" s="394" t="s">
        <v>989</v>
      </c>
      <c r="G122" s="400"/>
    </row>
    <row r="123" spans="1:7" ht="24">
      <c r="A123" s="89" t="s">
        <v>45</v>
      </c>
      <c r="B123" s="88" t="s">
        <v>917</v>
      </c>
      <c r="C123" s="393"/>
      <c r="D123" s="394" t="s">
        <v>914</v>
      </c>
      <c r="E123" s="394" t="s">
        <v>1008</v>
      </c>
      <c r="F123" s="394" t="s">
        <v>970</v>
      </c>
      <c r="G123" s="400"/>
    </row>
    <row r="124" spans="1:7" ht="48">
      <c r="A124" s="89" t="s">
        <v>46</v>
      </c>
      <c r="B124" s="88" t="s">
        <v>1116</v>
      </c>
      <c r="C124" s="393"/>
      <c r="D124" s="394" t="s">
        <v>914</v>
      </c>
      <c r="E124" s="394" t="s">
        <v>1117</v>
      </c>
      <c r="F124" s="394" t="s">
        <v>989</v>
      </c>
      <c r="G124" s="400"/>
    </row>
    <row r="125" spans="1:7" ht="30">
      <c r="A125" s="89" t="s">
        <v>47</v>
      </c>
      <c r="B125" s="88" t="s">
        <v>675</v>
      </c>
      <c r="C125" s="393"/>
      <c r="D125" s="394" t="s">
        <v>916</v>
      </c>
      <c r="E125" s="394" t="s">
        <v>1023</v>
      </c>
      <c r="F125" s="394" t="s">
        <v>971</v>
      </c>
      <c r="G125" s="400"/>
    </row>
    <row r="126" spans="1:7" ht="24">
      <c r="A126" s="89" t="s">
        <v>48</v>
      </c>
      <c r="B126" s="88" t="s">
        <v>676</v>
      </c>
      <c r="C126" s="393"/>
      <c r="D126" s="394" t="s">
        <v>916</v>
      </c>
      <c r="E126" s="394" t="s">
        <v>1022</v>
      </c>
      <c r="F126" s="394" t="s">
        <v>990</v>
      </c>
      <c r="G126" s="400"/>
    </row>
    <row r="127" spans="1:7" ht="30">
      <c r="A127" s="387" t="s">
        <v>49</v>
      </c>
      <c r="B127" s="399" t="s">
        <v>579</v>
      </c>
      <c r="C127" s="393"/>
      <c r="D127" s="394"/>
      <c r="E127" s="394"/>
      <c r="F127" s="394"/>
      <c r="G127" s="400"/>
    </row>
    <row r="128" spans="1:7" ht="15">
      <c r="A128" s="409" t="s">
        <v>50</v>
      </c>
      <c r="B128" s="399" t="s">
        <v>575</v>
      </c>
      <c r="C128" s="393"/>
      <c r="D128" s="394"/>
      <c r="E128" s="394"/>
      <c r="F128" s="394"/>
      <c r="G128" s="400"/>
    </row>
    <row r="129" spans="1:7" ht="15">
      <c r="A129" s="409" t="s">
        <v>100</v>
      </c>
      <c r="B129" s="399" t="s">
        <v>576</v>
      </c>
      <c r="C129" s="393"/>
      <c r="D129" s="394"/>
      <c r="E129" s="394"/>
      <c r="F129" s="394"/>
      <c r="G129" s="400"/>
    </row>
    <row r="130" spans="1:7" ht="15">
      <c r="A130" s="89"/>
      <c r="B130" s="88"/>
      <c r="C130" s="393"/>
      <c r="D130" s="394"/>
      <c r="E130" s="394"/>
      <c r="F130" s="394"/>
      <c r="G130" s="400"/>
    </row>
    <row r="131" spans="1:7" ht="30">
      <c r="A131" s="387" t="s">
        <v>727</v>
      </c>
      <c r="B131" s="399" t="s">
        <v>580</v>
      </c>
      <c r="C131" s="393"/>
      <c r="D131" s="394"/>
      <c r="E131" s="394"/>
      <c r="F131" s="394"/>
      <c r="G131" s="400"/>
    </row>
    <row r="132" spans="1:7" ht="30">
      <c r="A132" s="387" t="s">
        <v>728</v>
      </c>
      <c r="B132" s="399" t="s">
        <v>581</v>
      </c>
      <c r="C132" s="393"/>
      <c r="D132" s="394"/>
      <c r="E132" s="394"/>
      <c r="F132" s="394"/>
      <c r="G132" s="400"/>
    </row>
    <row r="133" spans="1:7" ht="15">
      <c r="A133" s="89"/>
      <c r="B133" s="88"/>
      <c r="C133" s="393"/>
      <c r="D133" s="394"/>
      <c r="E133" s="394"/>
      <c r="F133" s="394"/>
      <c r="G133" s="400"/>
    </row>
    <row r="134" spans="1:7" ht="15">
      <c r="A134" s="387" t="s">
        <v>38</v>
      </c>
      <c r="B134" s="399" t="s">
        <v>11</v>
      </c>
      <c r="C134" s="393"/>
      <c r="D134" s="394"/>
      <c r="E134" s="394"/>
      <c r="F134" s="394"/>
      <c r="G134" s="400"/>
    </row>
    <row r="135" spans="1:7" ht="15">
      <c r="A135" s="387" t="s">
        <v>39</v>
      </c>
      <c r="B135" s="399" t="s">
        <v>12</v>
      </c>
      <c r="C135" s="393"/>
      <c r="D135" s="394"/>
      <c r="E135" s="394"/>
      <c r="F135" s="394"/>
      <c r="G135" s="400"/>
    </row>
    <row r="136" spans="1:7" ht="30">
      <c r="A136" s="89" t="s">
        <v>43</v>
      </c>
      <c r="B136" s="88" t="s">
        <v>906</v>
      </c>
      <c r="C136" s="393"/>
      <c r="D136" s="394" t="s">
        <v>110</v>
      </c>
      <c r="E136" s="394" t="s">
        <v>988</v>
      </c>
      <c r="F136" s="394"/>
      <c r="G136" s="400"/>
    </row>
    <row r="137" spans="1:7" ht="48">
      <c r="A137" s="89" t="s">
        <v>44</v>
      </c>
      <c r="B137" s="88" t="s">
        <v>582</v>
      </c>
      <c r="C137" s="393"/>
      <c r="D137" s="394" t="s">
        <v>952</v>
      </c>
      <c r="E137" s="394" t="s">
        <v>1565</v>
      </c>
      <c r="F137" s="394" t="s">
        <v>948</v>
      </c>
      <c r="G137" s="400"/>
    </row>
    <row r="138" spans="1:7" ht="24">
      <c r="A138" s="89" t="s">
        <v>45</v>
      </c>
      <c r="B138" s="88" t="s">
        <v>1568</v>
      </c>
      <c r="C138" s="393"/>
      <c r="D138" s="394" t="s">
        <v>952</v>
      </c>
      <c r="E138" s="394" t="s">
        <v>1008</v>
      </c>
      <c r="F138" s="394" t="s">
        <v>949</v>
      </c>
      <c r="G138" s="400"/>
    </row>
    <row r="139" spans="1:7" ht="48">
      <c r="A139" s="89" t="s">
        <v>46</v>
      </c>
      <c r="B139" s="88" t="s">
        <v>583</v>
      </c>
      <c r="C139" s="393"/>
      <c r="D139" s="394" t="s">
        <v>952</v>
      </c>
      <c r="E139" s="394" t="s">
        <v>1565</v>
      </c>
      <c r="F139" s="394" t="s">
        <v>948</v>
      </c>
      <c r="G139" s="400"/>
    </row>
    <row r="140" spans="1:7" ht="36">
      <c r="A140" s="89" t="s">
        <v>47</v>
      </c>
      <c r="B140" s="88" t="s">
        <v>1569</v>
      </c>
      <c r="C140" s="393"/>
      <c r="D140" s="394" t="s">
        <v>951</v>
      </c>
      <c r="E140" s="394" t="s">
        <v>1024</v>
      </c>
      <c r="F140" s="394" t="s">
        <v>950</v>
      </c>
      <c r="G140" s="400"/>
    </row>
    <row r="141" spans="1:7" ht="36">
      <c r="A141" s="89" t="s">
        <v>48</v>
      </c>
      <c r="B141" s="88" t="s">
        <v>1570</v>
      </c>
      <c r="C141" s="393"/>
      <c r="D141" s="394" t="s">
        <v>951</v>
      </c>
      <c r="E141" s="394" t="s">
        <v>1025</v>
      </c>
      <c r="F141" s="394" t="s">
        <v>950</v>
      </c>
      <c r="G141" s="400"/>
    </row>
    <row r="142" spans="1:7" ht="36">
      <c r="A142" s="89" t="s">
        <v>49</v>
      </c>
      <c r="B142" s="88" t="s">
        <v>1571</v>
      </c>
      <c r="C142" s="393"/>
      <c r="D142" s="394" t="s">
        <v>951</v>
      </c>
      <c r="E142" s="394" t="s">
        <v>1026</v>
      </c>
      <c r="F142" s="394" t="s">
        <v>950</v>
      </c>
      <c r="G142" s="400"/>
    </row>
    <row r="143" spans="1:7" ht="30">
      <c r="A143" s="387" t="s">
        <v>50</v>
      </c>
      <c r="B143" s="399" t="s">
        <v>584</v>
      </c>
      <c r="C143" s="393"/>
      <c r="D143" s="394"/>
      <c r="E143" s="394"/>
      <c r="F143" s="394"/>
      <c r="G143" s="400"/>
    </row>
    <row r="144" spans="1:7" ht="15">
      <c r="A144" s="387" t="s">
        <v>100</v>
      </c>
      <c r="B144" s="399" t="s">
        <v>585</v>
      </c>
      <c r="C144" s="393"/>
      <c r="D144" s="394"/>
      <c r="E144" s="394"/>
      <c r="F144" s="394"/>
      <c r="G144" s="400"/>
    </row>
    <row r="145" spans="1:7" ht="15">
      <c r="A145" s="387" t="s">
        <v>101</v>
      </c>
      <c r="B145" s="399" t="s">
        <v>586</v>
      </c>
      <c r="C145" s="393"/>
      <c r="D145" s="394"/>
      <c r="E145" s="394"/>
      <c r="F145" s="394"/>
      <c r="G145" s="400"/>
    </row>
    <row r="146" spans="1:7" ht="15">
      <c r="A146" s="387" t="s">
        <v>102</v>
      </c>
      <c r="B146" s="399" t="s">
        <v>587</v>
      </c>
      <c r="C146" s="393"/>
      <c r="D146" s="394"/>
      <c r="E146" s="394"/>
      <c r="F146" s="394"/>
      <c r="G146" s="400"/>
    </row>
    <row r="147" spans="1:7" ht="15">
      <c r="A147" s="89"/>
      <c r="B147" s="88"/>
      <c r="C147" s="393"/>
      <c r="D147" s="394"/>
      <c r="E147" s="394"/>
      <c r="F147" s="394"/>
      <c r="G147" s="400"/>
    </row>
    <row r="148" spans="1:7" ht="15">
      <c r="A148" s="387" t="s">
        <v>588</v>
      </c>
      <c r="B148" s="399" t="s">
        <v>589</v>
      </c>
      <c r="C148" s="393"/>
      <c r="D148" s="394"/>
      <c r="E148" s="394"/>
      <c r="F148" s="394"/>
      <c r="G148" s="400"/>
    </row>
    <row r="149" spans="1:7" ht="30">
      <c r="A149" s="89" t="s">
        <v>43</v>
      </c>
      <c r="B149" s="88" t="s">
        <v>906</v>
      </c>
      <c r="C149" s="393"/>
      <c r="D149" s="394" t="s">
        <v>110</v>
      </c>
      <c r="E149" s="394" t="s">
        <v>988</v>
      </c>
      <c r="F149" s="394"/>
      <c r="G149" s="400"/>
    </row>
    <row r="150" spans="1:7" ht="48">
      <c r="A150" s="89" t="s">
        <v>44</v>
      </c>
      <c r="B150" s="88" t="s">
        <v>590</v>
      </c>
      <c r="C150" s="393"/>
      <c r="D150" s="394" t="s">
        <v>952</v>
      </c>
      <c r="E150" s="394" t="s">
        <v>1565</v>
      </c>
      <c r="F150" s="394" t="s">
        <v>948</v>
      </c>
      <c r="G150" s="400"/>
    </row>
    <row r="151" spans="1:7" ht="24">
      <c r="A151" s="89" t="s">
        <v>45</v>
      </c>
      <c r="B151" s="88" t="s">
        <v>591</v>
      </c>
      <c r="C151" s="393"/>
      <c r="D151" s="394" t="s">
        <v>952</v>
      </c>
      <c r="E151" s="394" t="s">
        <v>1008</v>
      </c>
      <c r="F151" s="394" t="s">
        <v>949</v>
      </c>
      <c r="G151" s="400"/>
    </row>
    <row r="152" spans="1:7" ht="36">
      <c r="A152" s="89" t="s">
        <v>46</v>
      </c>
      <c r="B152" s="88" t="s">
        <v>677</v>
      </c>
      <c r="C152" s="393"/>
      <c r="D152" s="394" t="s">
        <v>951</v>
      </c>
      <c r="E152" s="394" t="s">
        <v>1024</v>
      </c>
      <c r="F152" s="394" t="s">
        <v>950</v>
      </c>
      <c r="G152" s="400"/>
    </row>
    <row r="153" spans="1:7" ht="36">
      <c r="A153" s="89" t="s">
        <v>47</v>
      </c>
      <c r="B153" s="88" t="s">
        <v>678</v>
      </c>
      <c r="C153" s="393"/>
      <c r="D153" s="394" t="s">
        <v>951</v>
      </c>
      <c r="E153" s="394" t="s">
        <v>1025</v>
      </c>
      <c r="F153" s="394" t="s">
        <v>950</v>
      </c>
      <c r="G153" s="400"/>
    </row>
    <row r="154" spans="1:7" ht="36">
      <c r="A154" s="89" t="s">
        <v>48</v>
      </c>
      <c r="B154" s="88" t="s">
        <v>679</v>
      </c>
      <c r="C154" s="393"/>
      <c r="D154" s="394" t="s">
        <v>951</v>
      </c>
      <c r="E154" s="394" t="s">
        <v>1026</v>
      </c>
      <c r="F154" s="394" t="s">
        <v>950</v>
      </c>
      <c r="G154" s="400"/>
    </row>
    <row r="155" spans="1:7" ht="15">
      <c r="A155" s="387" t="s">
        <v>49</v>
      </c>
      <c r="B155" s="399" t="s">
        <v>592</v>
      </c>
      <c r="C155" s="393"/>
      <c r="D155" s="394"/>
      <c r="E155" s="394"/>
      <c r="F155" s="394"/>
      <c r="G155" s="400"/>
    </row>
    <row r="156" spans="1:7" ht="15">
      <c r="A156" s="387" t="s">
        <v>50</v>
      </c>
      <c r="B156" s="399" t="s">
        <v>593</v>
      </c>
      <c r="C156" s="393"/>
      <c r="D156" s="394"/>
      <c r="E156" s="394"/>
      <c r="F156" s="394"/>
      <c r="G156" s="400"/>
    </row>
    <row r="157" spans="1:7" ht="15">
      <c r="A157" s="387" t="s">
        <v>100</v>
      </c>
      <c r="B157" s="399" t="s">
        <v>594</v>
      </c>
      <c r="C157" s="393"/>
      <c r="D157" s="394"/>
      <c r="E157" s="394"/>
      <c r="F157" s="394"/>
      <c r="G157" s="400"/>
    </row>
    <row r="158" spans="1:7" ht="15">
      <c r="A158" s="387" t="s">
        <v>101</v>
      </c>
      <c r="B158" s="399" t="s">
        <v>595</v>
      </c>
      <c r="C158" s="393"/>
      <c r="D158" s="394"/>
      <c r="E158" s="394"/>
      <c r="F158" s="394"/>
      <c r="G158" s="400"/>
    </row>
    <row r="159" spans="1:7" ht="15">
      <c r="A159" s="89"/>
      <c r="B159" s="88"/>
      <c r="C159" s="393"/>
      <c r="D159" s="394"/>
      <c r="E159" s="394"/>
      <c r="F159" s="394"/>
      <c r="G159" s="400"/>
    </row>
    <row r="160" spans="1:7" ht="15">
      <c r="A160" s="387" t="s">
        <v>596</v>
      </c>
      <c r="B160" s="399" t="s">
        <v>597</v>
      </c>
      <c r="C160" s="393"/>
      <c r="D160" s="394"/>
      <c r="E160" s="394"/>
      <c r="F160" s="394"/>
      <c r="G160" s="400"/>
    </row>
    <row r="161" spans="1:7" ht="30">
      <c r="A161" s="89" t="s">
        <v>43</v>
      </c>
      <c r="B161" s="88" t="s">
        <v>906</v>
      </c>
      <c r="C161" s="393"/>
      <c r="D161" s="394" t="s">
        <v>110</v>
      </c>
      <c r="E161" s="394" t="s">
        <v>988</v>
      </c>
      <c r="F161" s="394"/>
      <c r="G161" s="400"/>
    </row>
    <row r="162" spans="1:7" ht="48">
      <c r="A162" s="89" t="s">
        <v>44</v>
      </c>
      <c r="B162" s="88" t="s">
        <v>598</v>
      </c>
      <c r="C162" s="393"/>
      <c r="D162" s="394" t="s">
        <v>952</v>
      </c>
      <c r="E162" s="394" t="s">
        <v>1565</v>
      </c>
      <c r="F162" s="394" t="s">
        <v>948</v>
      </c>
      <c r="G162" s="400"/>
    </row>
    <row r="163" spans="1:7" ht="24">
      <c r="A163" s="89" t="s">
        <v>45</v>
      </c>
      <c r="B163" s="88" t="s">
        <v>1572</v>
      </c>
      <c r="C163" s="393"/>
      <c r="D163" s="394" t="s">
        <v>952</v>
      </c>
      <c r="E163" s="394" t="s">
        <v>1008</v>
      </c>
      <c r="F163" s="394" t="s">
        <v>949</v>
      </c>
      <c r="G163" s="400"/>
    </row>
    <row r="164" spans="1:7" ht="48">
      <c r="A164" s="89" t="s">
        <v>46</v>
      </c>
      <c r="B164" s="88" t="s">
        <v>599</v>
      </c>
      <c r="C164" s="393"/>
      <c r="D164" s="394" t="s">
        <v>952</v>
      </c>
      <c r="E164" s="394" t="s">
        <v>1565</v>
      </c>
      <c r="F164" s="394" t="s">
        <v>948</v>
      </c>
      <c r="G164" s="400"/>
    </row>
    <row r="165" spans="1:7" ht="36">
      <c r="A165" s="89" t="s">
        <v>47</v>
      </c>
      <c r="B165" s="88" t="s">
        <v>1573</v>
      </c>
      <c r="C165" s="393"/>
      <c r="D165" s="394" t="s">
        <v>951</v>
      </c>
      <c r="E165" s="394" t="s">
        <v>1024</v>
      </c>
      <c r="F165" s="394" t="s">
        <v>950</v>
      </c>
      <c r="G165" s="400"/>
    </row>
    <row r="166" spans="1:7" ht="36">
      <c r="A166" s="89" t="s">
        <v>48</v>
      </c>
      <c r="B166" s="88" t="s">
        <v>1574</v>
      </c>
      <c r="C166" s="393"/>
      <c r="D166" s="394" t="s">
        <v>951</v>
      </c>
      <c r="E166" s="394" t="s">
        <v>1025</v>
      </c>
      <c r="F166" s="394" t="s">
        <v>950</v>
      </c>
      <c r="G166" s="400"/>
    </row>
    <row r="167" spans="1:7" ht="36">
      <c r="A167" s="387" t="s">
        <v>49</v>
      </c>
      <c r="B167" s="88" t="s">
        <v>1575</v>
      </c>
      <c r="C167" s="393"/>
      <c r="D167" s="394" t="s">
        <v>951</v>
      </c>
      <c r="E167" s="394" t="s">
        <v>996</v>
      </c>
      <c r="F167" s="394"/>
      <c r="G167" s="400"/>
    </row>
    <row r="168" spans="1:7" ht="36">
      <c r="A168" s="387" t="s">
        <v>50</v>
      </c>
      <c r="B168" s="88" t="s">
        <v>1576</v>
      </c>
      <c r="C168" s="393"/>
      <c r="D168" s="394" t="s">
        <v>951</v>
      </c>
      <c r="E168" s="394" t="s">
        <v>1026</v>
      </c>
      <c r="F168" s="394" t="s">
        <v>950</v>
      </c>
      <c r="G168" s="400"/>
    </row>
    <row r="169" spans="1:7" ht="30">
      <c r="A169" s="387" t="s">
        <v>100</v>
      </c>
      <c r="B169" s="399" t="s">
        <v>600</v>
      </c>
      <c r="C169" s="393"/>
      <c r="D169" s="394"/>
      <c r="E169" s="394"/>
      <c r="F169" s="394"/>
      <c r="G169" s="400"/>
    </row>
    <row r="170" spans="1:7" ht="15">
      <c r="A170" s="387" t="s">
        <v>101</v>
      </c>
      <c r="B170" s="399" t="s">
        <v>601</v>
      </c>
      <c r="C170" s="393"/>
      <c r="D170" s="394"/>
      <c r="E170" s="394"/>
      <c r="F170" s="394"/>
      <c r="G170" s="400"/>
    </row>
    <row r="171" spans="1:7" ht="30">
      <c r="A171" s="387" t="s">
        <v>102</v>
      </c>
      <c r="B171" s="399" t="s">
        <v>1532</v>
      </c>
      <c r="C171" s="393"/>
      <c r="D171" s="394"/>
      <c r="E171" s="394"/>
      <c r="F171" s="394"/>
      <c r="G171" s="400"/>
    </row>
    <row r="172" spans="1:7" ht="15">
      <c r="A172" s="387" t="s">
        <v>880</v>
      </c>
      <c r="B172" s="399" t="s">
        <v>602</v>
      </c>
      <c r="C172" s="393"/>
      <c r="D172" s="394"/>
      <c r="E172" s="394"/>
      <c r="F172" s="394"/>
      <c r="G172" s="400"/>
    </row>
    <row r="173" spans="1:7" ht="15">
      <c r="A173" s="387" t="s">
        <v>1143</v>
      </c>
      <c r="B173" s="399" t="s">
        <v>603</v>
      </c>
      <c r="C173" s="393"/>
      <c r="D173" s="394"/>
      <c r="E173" s="394"/>
      <c r="F173" s="394"/>
      <c r="G173" s="400"/>
    </row>
    <row r="174" spans="1:7" ht="15">
      <c r="A174" s="89"/>
      <c r="B174" s="88"/>
      <c r="C174" s="393"/>
      <c r="D174" s="394"/>
      <c r="E174" s="394"/>
      <c r="F174" s="394"/>
      <c r="G174" s="400"/>
    </row>
    <row r="175" spans="1:7" ht="15">
      <c r="A175" s="387" t="s">
        <v>221</v>
      </c>
      <c r="B175" s="399" t="s">
        <v>604</v>
      </c>
      <c r="C175" s="393"/>
      <c r="D175" s="394"/>
      <c r="E175" s="394"/>
      <c r="F175" s="394"/>
      <c r="G175" s="400"/>
    </row>
    <row r="176" spans="1:7" ht="30">
      <c r="A176" s="89" t="s">
        <v>43</v>
      </c>
      <c r="B176" s="88" t="s">
        <v>906</v>
      </c>
      <c r="C176" s="393"/>
      <c r="D176" s="394" t="s">
        <v>110</v>
      </c>
      <c r="E176" s="394" t="s">
        <v>988</v>
      </c>
      <c r="F176" s="394"/>
      <c r="G176" s="400"/>
    </row>
    <row r="177" spans="1:7" ht="48">
      <c r="A177" s="89" t="s">
        <v>44</v>
      </c>
      <c r="B177" s="88" t="s">
        <v>605</v>
      </c>
      <c r="C177" s="393"/>
      <c r="D177" s="394" t="s">
        <v>952</v>
      </c>
      <c r="E177" s="394" t="s">
        <v>1565</v>
      </c>
      <c r="F177" s="394" t="s">
        <v>948</v>
      </c>
      <c r="G177" s="400"/>
    </row>
    <row r="178" spans="1:7" ht="24">
      <c r="A178" s="89" t="s">
        <v>45</v>
      </c>
      <c r="B178" s="88" t="s">
        <v>1577</v>
      </c>
      <c r="C178" s="393"/>
      <c r="D178" s="394" t="s">
        <v>952</v>
      </c>
      <c r="E178" s="394" t="s">
        <v>1008</v>
      </c>
      <c r="F178" s="394" t="s">
        <v>949</v>
      </c>
      <c r="G178" s="400"/>
    </row>
    <row r="179" spans="1:7" ht="48">
      <c r="A179" s="89" t="s">
        <v>46</v>
      </c>
      <c r="B179" s="88" t="s">
        <v>606</v>
      </c>
      <c r="C179" s="393"/>
      <c r="D179" s="394" t="s">
        <v>952</v>
      </c>
      <c r="E179" s="394" t="s">
        <v>1565</v>
      </c>
      <c r="F179" s="394" t="s">
        <v>948</v>
      </c>
      <c r="G179" s="400"/>
    </row>
    <row r="180" spans="1:7" ht="36">
      <c r="A180" s="89" t="s">
        <v>47</v>
      </c>
      <c r="B180" s="88" t="s">
        <v>1578</v>
      </c>
      <c r="C180" s="393"/>
      <c r="D180" s="394" t="s">
        <v>951</v>
      </c>
      <c r="E180" s="394" t="s">
        <v>1024</v>
      </c>
      <c r="F180" s="394" t="s">
        <v>950</v>
      </c>
      <c r="G180" s="400"/>
    </row>
    <row r="181" spans="1:7" ht="36">
      <c r="A181" s="89" t="s">
        <v>48</v>
      </c>
      <c r="B181" s="88" t="s">
        <v>1579</v>
      </c>
      <c r="C181" s="393"/>
      <c r="D181" s="394" t="s">
        <v>951</v>
      </c>
      <c r="E181" s="394" t="s">
        <v>1025</v>
      </c>
      <c r="F181" s="394" t="s">
        <v>950</v>
      </c>
      <c r="G181" s="400"/>
    </row>
    <row r="182" spans="1:7" ht="36">
      <c r="A182" s="89" t="s">
        <v>49</v>
      </c>
      <c r="B182" s="88" t="s">
        <v>1580</v>
      </c>
      <c r="C182" s="393"/>
      <c r="D182" s="394" t="s">
        <v>951</v>
      </c>
      <c r="E182" s="394" t="s">
        <v>1026</v>
      </c>
      <c r="F182" s="394" t="s">
        <v>950</v>
      </c>
      <c r="G182" s="400"/>
    </row>
    <row r="183" spans="1:7" ht="30">
      <c r="A183" s="387" t="s">
        <v>50</v>
      </c>
      <c r="B183" s="399" t="s">
        <v>1585</v>
      </c>
      <c r="C183" s="393"/>
      <c r="D183" s="394"/>
      <c r="E183" s="394"/>
      <c r="F183" s="394"/>
      <c r="G183" s="400"/>
    </row>
    <row r="184" spans="1:7" ht="15">
      <c r="A184" s="387" t="s">
        <v>100</v>
      </c>
      <c r="B184" s="399" t="s">
        <v>607</v>
      </c>
      <c r="C184" s="393"/>
      <c r="D184" s="394"/>
      <c r="E184" s="394"/>
      <c r="F184" s="394"/>
      <c r="G184" s="400"/>
    </row>
    <row r="185" spans="1:7" ht="15">
      <c r="A185" s="387" t="s">
        <v>101</v>
      </c>
      <c r="B185" s="399" t="s">
        <v>608</v>
      </c>
      <c r="C185" s="393"/>
      <c r="D185" s="394"/>
      <c r="E185" s="394"/>
      <c r="F185" s="394"/>
      <c r="G185" s="400"/>
    </row>
    <row r="186" spans="1:7" ht="15">
      <c r="A186" s="387" t="s">
        <v>102</v>
      </c>
      <c r="B186" s="399" t="s">
        <v>609</v>
      </c>
      <c r="C186" s="393"/>
      <c r="D186" s="394"/>
      <c r="E186" s="394"/>
      <c r="F186" s="394"/>
      <c r="G186" s="400"/>
    </row>
    <row r="187" spans="1:7" ht="15">
      <c r="A187" s="89"/>
      <c r="B187" s="88"/>
      <c r="C187" s="393"/>
      <c r="D187" s="394"/>
      <c r="E187" s="394"/>
      <c r="F187" s="394"/>
      <c r="G187" s="400"/>
    </row>
    <row r="188" spans="1:7" ht="30">
      <c r="A188" s="387" t="s">
        <v>258</v>
      </c>
      <c r="B188" s="399" t="s">
        <v>610</v>
      </c>
      <c r="C188" s="393"/>
      <c r="D188" s="394"/>
      <c r="E188" s="394"/>
      <c r="F188" s="394"/>
      <c r="G188" s="400"/>
    </row>
    <row r="189" spans="1:7" ht="30">
      <c r="A189" s="387" t="s">
        <v>321</v>
      </c>
      <c r="B189" s="399" t="s">
        <v>611</v>
      </c>
      <c r="C189" s="393"/>
      <c r="D189" s="394"/>
      <c r="E189" s="394"/>
      <c r="F189" s="394"/>
      <c r="G189" s="400"/>
    </row>
    <row r="190" spans="1:7" ht="30">
      <c r="A190" s="387" t="s">
        <v>325</v>
      </c>
      <c r="B190" s="399" t="s">
        <v>612</v>
      </c>
      <c r="C190" s="393"/>
      <c r="D190" s="394"/>
      <c r="E190" s="394"/>
      <c r="F190" s="394"/>
      <c r="G190" s="400"/>
    </row>
    <row r="191" spans="1:7" ht="15">
      <c r="A191" s="89"/>
      <c r="B191" s="88"/>
      <c r="C191" s="393"/>
      <c r="D191" s="394"/>
      <c r="E191" s="394"/>
      <c r="F191" s="394"/>
      <c r="G191" s="400"/>
    </row>
    <row r="192" spans="1:7" ht="15">
      <c r="A192" s="387" t="s">
        <v>40</v>
      </c>
      <c r="B192" s="399" t="s">
        <v>613</v>
      </c>
      <c r="C192" s="393"/>
      <c r="D192" s="394"/>
      <c r="E192" s="394"/>
      <c r="F192" s="394"/>
      <c r="G192" s="400"/>
    </row>
    <row r="193" spans="1:7" ht="15">
      <c r="A193" s="387" t="s">
        <v>41</v>
      </c>
      <c r="B193" s="399" t="s">
        <v>743</v>
      </c>
      <c r="C193" s="393"/>
      <c r="D193" s="394"/>
      <c r="E193" s="394"/>
      <c r="F193" s="394"/>
      <c r="G193" s="400"/>
    </row>
    <row r="194" spans="1:7" ht="30">
      <c r="A194" s="89" t="s">
        <v>43</v>
      </c>
      <c r="B194" s="88" t="s">
        <v>906</v>
      </c>
      <c r="C194" s="393"/>
      <c r="D194" s="394" t="s">
        <v>110</v>
      </c>
      <c r="E194" s="394" t="s">
        <v>988</v>
      </c>
      <c r="F194" s="394"/>
      <c r="G194" s="400"/>
    </row>
    <row r="195" spans="1:7" ht="36">
      <c r="A195" s="89" t="s">
        <v>44</v>
      </c>
      <c r="B195" s="88" t="s">
        <v>918</v>
      </c>
      <c r="C195" s="393"/>
      <c r="D195" s="394" t="s">
        <v>952</v>
      </c>
      <c r="E195" s="394" t="s">
        <v>1566</v>
      </c>
      <c r="F195" s="394"/>
      <c r="G195" s="400"/>
    </row>
    <row r="196" spans="1:7" ht="24">
      <c r="A196" s="89" t="s">
        <v>45</v>
      </c>
      <c r="B196" s="88" t="s">
        <v>919</v>
      </c>
      <c r="C196" s="393"/>
      <c r="D196" s="394" t="s">
        <v>954</v>
      </c>
      <c r="E196" s="394" t="s">
        <v>1008</v>
      </c>
      <c r="F196" s="394" t="s">
        <v>953</v>
      </c>
      <c r="G196" s="400"/>
    </row>
    <row r="197" spans="1:7" ht="36">
      <c r="A197" s="89" t="s">
        <v>46</v>
      </c>
      <c r="B197" s="88" t="s">
        <v>920</v>
      </c>
      <c r="C197" s="393"/>
      <c r="D197" s="394" t="s">
        <v>955</v>
      </c>
      <c r="E197" s="394" t="s">
        <v>1027</v>
      </c>
      <c r="F197" s="394" t="s">
        <v>953</v>
      </c>
      <c r="G197" s="400"/>
    </row>
    <row r="198" spans="1:7" ht="36">
      <c r="A198" s="89" t="s">
        <v>47</v>
      </c>
      <c r="B198" s="88" t="s">
        <v>921</v>
      </c>
      <c r="C198" s="393"/>
      <c r="D198" s="394" t="s">
        <v>951</v>
      </c>
      <c r="E198" s="394" t="s">
        <v>996</v>
      </c>
      <c r="F198" s="394" t="s">
        <v>953</v>
      </c>
      <c r="G198" s="400"/>
    </row>
    <row r="199" spans="1:7" ht="36">
      <c r="A199" s="89" t="s">
        <v>48</v>
      </c>
      <c r="B199" s="88" t="s">
        <v>922</v>
      </c>
      <c r="C199" s="393"/>
      <c r="D199" s="394" t="s">
        <v>951</v>
      </c>
      <c r="E199" s="394" t="s">
        <v>1026</v>
      </c>
      <c r="F199" s="394" t="s">
        <v>953</v>
      </c>
      <c r="G199" s="400"/>
    </row>
    <row r="200" spans="1:7" ht="15">
      <c r="A200" s="387" t="s">
        <v>49</v>
      </c>
      <c r="B200" s="399" t="s">
        <v>923</v>
      </c>
      <c r="C200" s="393"/>
      <c r="D200" s="394"/>
      <c r="E200" s="394"/>
      <c r="F200" s="394"/>
      <c r="G200" s="400"/>
    </row>
    <row r="201" spans="1:7" ht="15">
      <c r="A201" s="387" t="s">
        <v>50</v>
      </c>
      <c r="B201" s="399" t="s">
        <v>924</v>
      </c>
      <c r="C201" s="393"/>
      <c r="D201" s="394"/>
      <c r="E201" s="394"/>
      <c r="F201" s="394"/>
      <c r="G201" s="400"/>
    </row>
    <row r="202" spans="1:7" ht="30">
      <c r="A202" s="387" t="s">
        <v>100</v>
      </c>
      <c r="B202" s="399" t="s">
        <v>1533</v>
      </c>
      <c r="C202" s="393"/>
      <c r="D202" s="394"/>
      <c r="E202" s="394"/>
      <c r="F202" s="394"/>
      <c r="G202" s="400"/>
    </row>
    <row r="203" spans="1:7" ht="15">
      <c r="A203" s="387" t="s">
        <v>101</v>
      </c>
      <c r="B203" s="399" t="s">
        <v>925</v>
      </c>
      <c r="C203" s="393"/>
      <c r="D203" s="394"/>
      <c r="E203" s="394"/>
      <c r="F203" s="394"/>
      <c r="G203" s="400"/>
    </row>
    <row r="204" spans="1:7" ht="15">
      <c r="A204" s="89"/>
      <c r="B204" s="88"/>
      <c r="C204" s="393"/>
      <c r="D204" s="394"/>
      <c r="E204" s="394"/>
      <c r="F204" s="394"/>
      <c r="G204" s="400"/>
    </row>
    <row r="205" spans="1:7" ht="15">
      <c r="A205" s="387" t="s">
        <v>56</v>
      </c>
      <c r="B205" s="399" t="s">
        <v>18</v>
      </c>
      <c r="C205" s="393"/>
      <c r="D205" s="394"/>
      <c r="E205" s="394"/>
      <c r="F205" s="394"/>
      <c r="G205" s="400"/>
    </row>
    <row r="206" spans="1:7" ht="30">
      <c r="A206" s="89" t="s">
        <v>43</v>
      </c>
      <c r="B206" s="88" t="s">
        <v>906</v>
      </c>
      <c r="C206" s="393"/>
      <c r="D206" s="394" t="s">
        <v>110</v>
      </c>
      <c r="E206" s="394" t="s">
        <v>988</v>
      </c>
      <c r="F206" s="394"/>
      <c r="G206" s="400"/>
    </row>
    <row r="207" spans="1:7" ht="36">
      <c r="A207" s="89" t="s">
        <v>44</v>
      </c>
      <c r="B207" s="88" t="s">
        <v>926</v>
      </c>
      <c r="C207" s="393"/>
      <c r="D207" s="394" t="s">
        <v>954</v>
      </c>
      <c r="E207" s="394" t="s">
        <v>1566</v>
      </c>
      <c r="F207" s="394"/>
      <c r="G207" s="400"/>
    </row>
    <row r="208" spans="1:7" ht="24">
      <c r="A208" s="89" t="s">
        <v>45</v>
      </c>
      <c r="B208" s="88" t="s">
        <v>927</v>
      </c>
      <c r="C208" s="393"/>
      <c r="D208" s="394" t="s">
        <v>954</v>
      </c>
      <c r="E208" s="394" t="s">
        <v>1008</v>
      </c>
      <c r="F208" s="394" t="s">
        <v>953</v>
      </c>
      <c r="G208" s="400"/>
    </row>
    <row r="209" spans="1:7" ht="24">
      <c r="A209" s="89" t="s">
        <v>46</v>
      </c>
      <c r="B209" s="88" t="s">
        <v>928</v>
      </c>
      <c r="C209" s="393"/>
      <c r="D209" s="394" t="s">
        <v>951</v>
      </c>
      <c r="E209" s="394" t="s">
        <v>1028</v>
      </c>
      <c r="F209" s="394" t="s">
        <v>953</v>
      </c>
      <c r="G209" s="400"/>
    </row>
    <row r="210" spans="1:7" ht="36">
      <c r="A210" s="89" t="s">
        <v>47</v>
      </c>
      <c r="B210" s="88" t="s">
        <v>929</v>
      </c>
      <c r="C210" s="393"/>
      <c r="D210" s="394" t="s">
        <v>951</v>
      </c>
      <c r="E210" s="394" t="s">
        <v>1026</v>
      </c>
      <c r="F210" s="394" t="s">
        <v>953</v>
      </c>
      <c r="G210" s="400"/>
    </row>
    <row r="211" spans="1:7" ht="15">
      <c r="A211" s="387" t="s">
        <v>48</v>
      </c>
      <c r="B211" s="399" t="s">
        <v>614</v>
      </c>
      <c r="C211" s="393"/>
      <c r="D211" s="394"/>
      <c r="E211" s="394"/>
      <c r="F211" s="394"/>
      <c r="G211" s="400"/>
    </row>
    <row r="212" spans="1:7" ht="15">
      <c r="A212" s="387" t="s">
        <v>49</v>
      </c>
      <c r="B212" s="399" t="s">
        <v>615</v>
      </c>
      <c r="C212" s="393"/>
      <c r="D212" s="394"/>
      <c r="E212" s="394"/>
      <c r="F212" s="394"/>
      <c r="G212" s="400"/>
    </row>
    <row r="213" spans="1:7" ht="15">
      <c r="A213" s="387" t="s">
        <v>50</v>
      </c>
      <c r="B213" s="399" t="s">
        <v>616</v>
      </c>
      <c r="C213" s="393"/>
      <c r="D213" s="394"/>
      <c r="E213" s="394"/>
      <c r="F213" s="394"/>
      <c r="G213" s="400"/>
    </row>
    <row r="214" spans="1:7" ht="15">
      <c r="A214" s="89"/>
      <c r="B214" s="88"/>
      <c r="C214" s="393"/>
      <c r="D214" s="394"/>
      <c r="E214" s="394"/>
      <c r="F214" s="394"/>
      <c r="G214" s="400"/>
    </row>
    <row r="215" spans="1:7" ht="15">
      <c r="A215" s="387" t="s">
        <v>119</v>
      </c>
      <c r="B215" s="399" t="s">
        <v>617</v>
      </c>
      <c r="C215" s="393"/>
      <c r="D215" s="394"/>
      <c r="E215" s="394"/>
      <c r="F215" s="394"/>
      <c r="G215" s="400"/>
    </row>
    <row r="216" spans="1:7" ht="15">
      <c r="A216" s="387" t="s">
        <v>222</v>
      </c>
      <c r="B216" s="399" t="s">
        <v>618</v>
      </c>
      <c r="C216" s="393"/>
      <c r="D216" s="394"/>
      <c r="E216" s="394"/>
      <c r="F216" s="394"/>
      <c r="G216" s="400"/>
    </row>
    <row r="217" spans="1:7" ht="15">
      <c r="A217" s="89"/>
      <c r="B217" s="88"/>
      <c r="C217" s="393"/>
      <c r="D217" s="394"/>
      <c r="E217" s="394"/>
      <c r="F217" s="394"/>
      <c r="G217" s="400"/>
    </row>
    <row r="218" spans="1:7" ht="15">
      <c r="A218" s="387" t="s">
        <v>42</v>
      </c>
      <c r="B218" s="399" t="s">
        <v>329</v>
      </c>
      <c r="C218" s="393"/>
      <c r="D218" s="394"/>
      <c r="E218" s="394"/>
      <c r="F218" s="394"/>
      <c r="G218" s="400"/>
    </row>
    <row r="219" spans="1:7" ht="30">
      <c r="A219" s="387" t="s">
        <v>330</v>
      </c>
      <c r="B219" s="399" t="s">
        <v>619</v>
      </c>
      <c r="C219" s="393"/>
      <c r="D219" s="394"/>
      <c r="E219" s="394"/>
      <c r="F219" s="394"/>
      <c r="G219" s="400"/>
    </row>
    <row r="220" spans="1:7" ht="30">
      <c r="A220" s="387" t="s">
        <v>331</v>
      </c>
      <c r="B220" s="399" t="s">
        <v>620</v>
      </c>
      <c r="C220" s="393"/>
      <c r="D220" s="394"/>
      <c r="E220" s="394"/>
      <c r="F220" s="394"/>
      <c r="G220" s="400"/>
    </row>
    <row r="221" spans="1:7" ht="45">
      <c r="A221" s="387" t="s">
        <v>332</v>
      </c>
      <c r="B221" s="399" t="s">
        <v>1535</v>
      </c>
      <c r="C221" s="393"/>
      <c r="D221" s="394"/>
      <c r="E221" s="394"/>
      <c r="F221" s="394"/>
      <c r="G221" s="400"/>
    </row>
    <row r="222" spans="1:7" ht="15">
      <c r="A222" s="89"/>
      <c r="B222" s="88"/>
      <c r="C222" s="393"/>
      <c r="D222" s="394"/>
      <c r="E222" s="394"/>
      <c r="F222" s="394"/>
      <c r="G222" s="400"/>
    </row>
    <row r="223" spans="1:7" ht="15">
      <c r="A223" s="387" t="s">
        <v>236</v>
      </c>
      <c r="B223" s="399" t="s">
        <v>335</v>
      </c>
      <c r="C223" s="393"/>
      <c r="D223" s="394"/>
      <c r="E223" s="394"/>
      <c r="F223" s="394"/>
      <c r="G223" s="400"/>
    </row>
    <row r="224" spans="1:7" ht="30">
      <c r="A224" s="387" t="s">
        <v>337</v>
      </c>
      <c r="B224" s="399" t="s">
        <v>621</v>
      </c>
      <c r="C224" s="393"/>
      <c r="D224" s="394"/>
      <c r="E224" s="394"/>
      <c r="F224" s="394"/>
      <c r="G224" s="400"/>
    </row>
    <row r="225" spans="1:7" ht="30">
      <c r="A225" s="387" t="s">
        <v>338</v>
      </c>
      <c r="B225" s="399" t="s">
        <v>622</v>
      </c>
      <c r="C225" s="393"/>
      <c r="D225" s="394"/>
      <c r="E225" s="394"/>
      <c r="F225" s="394"/>
      <c r="G225" s="400"/>
    </row>
    <row r="226" spans="1:7" ht="30">
      <c r="A226" s="387" t="s">
        <v>339</v>
      </c>
      <c r="B226" s="399" t="s">
        <v>623</v>
      </c>
      <c r="C226" s="393"/>
      <c r="D226" s="394"/>
      <c r="E226" s="394"/>
      <c r="F226" s="394"/>
      <c r="G226" s="400"/>
    </row>
    <row r="227" spans="1:7" ht="15">
      <c r="A227" s="89" t="s">
        <v>741</v>
      </c>
      <c r="B227" s="399" t="s">
        <v>1536</v>
      </c>
      <c r="C227" s="393"/>
      <c r="D227" s="394"/>
      <c r="E227" s="394"/>
      <c r="F227" s="392"/>
      <c r="G227" s="400"/>
    </row>
    <row r="228" spans="1:7" ht="15">
      <c r="A228" s="89"/>
      <c r="B228" s="88"/>
      <c r="C228" s="393"/>
      <c r="D228" s="394"/>
      <c r="E228" s="394"/>
      <c r="F228" s="394"/>
      <c r="G228" s="400"/>
    </row>
    <row r="229" spans="1:7" ht="15">
      <c r="A229" s="387" t="s">
        <v>237</v>
      </c>
      <c r="B229" s="399" t="s">
        <v>624</v>
      </c>
      <c r="C229" s="393"/>
      <c r="D229" s="394"/>
      <c r="E229" s="394"/>
      <c r="F229" s="394"/>
      <c r="G229" s="400"/>
    </row>
    <row r="230" spans="1:7" ht="60">
      <c r="A230" s="89" t="s">
        <v>340</v>
      </c>
      <c r="B230" s="88" t="s">
        <v>680</v>
      </c>
      <c r="C230" s="393"/>
      <c r="D230" s="394" t="s">
        <v>956</v>
      </c>
      <c r="E230" s="394" t="s">
        <v>1019</v>
      </c>
      <c r="F230" s="394" t="s">
        <v>997</v>
      </c>
      <c r="G230" s="400"/>
    </row>
    <row r="231" spans="1:7" ht="48">
      <c r="A231" s="89" t="s">
        <v>341</v>
      </c>
      <c r="B231" s="88" t="s">
        <v>1531</v>
      </c>
      <c r="C231" s="393"/>
      <c r="D231" s="394" t="s">
        <v>956</v>
      </c>
      <c r="E231" s="394" t="s">
        <v>1020</v>
      </c>
      <c r="F231" s="394" t="s">
        <v>1009</v>
      </c>
      <c r="G231" s="400"/>
    </row>
    <row r="232" spans="1:7" ht="48">
      <c r="A232" s="89" t="s">
        <v>342</v>
      </c>
      <c r="B232" s="88" t="s">
        <v>625</v>
      </c>
      <c r="C232" s="393"/>
      <c r="D232" s="394" t="s">
        <v>956</v>
      </c>
      <c r="E232" s="394" t="s">
        <v>1021</v>
      </c>
      <c r="F232" s="394" t="s">
        <v>1014</v>
      </c>
      <c r="G232" s="400"/>
    </row>
    <row r="233" spans="1:7" ht="15">
      <c r="A233" s="89"/>
      <c r="B233" s="88"/>
      <c r="C233" s="393"/>
      <c r="D233" s="394"/>
      <c r="E233" s="394"/>
      <c r="F233" s="394"/>
      <c r="G233" s="400"/>
    </row>
    <row r="234" spans="1:7" ht="15">
      <c r="A234" s="387" t="s">
        <v>370</v>
      </c>
      <c r="B234" s="399" t="s">
        <v>369</v>
      </c>
      <c r="C234" s="393"/>
      <c r="D234" s="394"/>
      <c r="E234" s="394"/>
      <c r="F234" s="394"/>
      <c r="G234" s="400"/>
    </row>
    <row r="235" spans="1:7" ht="15">
      <c r="A235" s="89" t="s">
        <v>371</v>
      </c>
      <c r="B235" s="88" t="s">
        <v>626</v>
      </c>
      <c r="C235" s="393" t="s">
        <v>1252</v>
      </c>
      <c r="D235" s="394" t="s">
        <v>957</v>
      </c>
      <c r="E235" s="394" t="s">
        <v>972</v>
      </c>
      <c r="F235" s="394"/>
      <c r="G235" s="400"/>
    </row>
    <row r="236" spans="1:7" ht="15">
      <c r="A236" s="89" t="s">
        <v>372</v>
      </c>
      <c r="B236" s="88" t="s">
        <v>627</v>
      </c>
      <c r="C236" s="393" t="s">
        <v>1251</v>
      </c>
      <c r="D236" s="394" t="s">
        <v>957</v>
      </c>
      <c r="E236" s="394" t="s">
        <v>973</v>
      </c>
      <c r="F236" s="394"/>
      <c r="G236" s="400"/>
    </row>
    <row r="237" spans="1:7" ht="15">
      <c r="A237" s="89"/>
      <c r="B237" s="88"/>
      <c r="C237" s="393"/>
      <c r="D237" s="394"/>
      <c r="E237" s="394"/>
      <c r="F237" s="394"/>
      <c r="G237" s="400"/>
    </row>
    <row r="238" spans="1:7" ht="15">
      <c r="A238" s="387" t="s">
        <v>378</v>
      </c>
      <c r="B238" s="399" t="s">
        <v>684</v>
      </c>
      <c r="C238" s="393"/>
      <c r="D238" s="394"/>
      <c r="E238" s="394"/>
      <c r="F238" s="394"/>
      <c r="G238" s="400"/>
    </row>
    <row r="239" spans="1:7" ht="28.5" customHeight="1">
      <c r="A239" s="89" t="s">
        <v>379</v>
      </c>
      <c r="B239" s="88" t="s">
        <v>681</v>
      </c>
      <c r="C239" s="917" t="s">
        <v>1507</v>
      </c>
      <c r="D239" s="925" t="s">
        <v>912</v>
      </c>
      <c r="E239" s="910" t="s">
        <v>1250</v>
      </c>
      <c r="F239" s="910" t="s">
        <v>1594</v>
      </c>
      <c r="G239" s="400"/>
    </row>
    <row r="240" spans="1:7" ht="24" customHeight="1">
      <c r="A240" s="89" t="s">
        <v>380</v>
      </c>
      <c r="B240" s="88" t="s">
        <v>682</v>
      </c>
      <c r="C240" s="918"/>
      <c r="D240" s="927"/>
      <c r="E240" s="910"/>
      <c r="F240" s="910"/>
      <c r="G240" s="400"/>
    </row>
    <row r="241" spans="1:7" ht="29.25" customHeight="1">
      <c r="A241" s="89" t="s">
        <v>381</v>
      </c>
      <c r="B241" s="88" t="s">
        <v>683</v>
      </c>
      <c r="C241" s="918"/>
      <c r="D241" s="927"/>
      <c r="E241" s="910"/>
      <c r="F241" s="910"/>
      <c r="G241" s="400"/>
    </row>
    <row r="242" spans="1:7" ht="39" customHeight="1">
      <c r="A242" s="89" t="s">
        <v>382</v>
      </c>
      <c r="B242" s="88" t="s">
        <v>628</v>
      </c>
      <c r="C242" s="919"/>
      <c r="D242" s="926"/>
      <c r="E242" s="910"/>
      <c r="F242" s="910"/>
      <c r="G242" s="400"/>
    </row>
    <row r="243" spans="1:7" ht="15">
      <c r="A243" s="387" t="s">
        <v>690</v>
      </c>
      <c r="B243" s="410" t="s">
        <v>746</v>
      </c>
      <c r="C243" s="393"/>
      <c r="D243" s="394"/>
      <c r="E243" s="411"/>
      <c r="F243" s="394"/>
      <c r="G243" s="400"/>
    </row>
    <row r="244" spans="1:7" ht="15">
      <c r="A244" s="387" t="s">
        <v>710</v>
      </c>
      <c r="B244" s="410" t="s">
        <v>845</v>
      </c>
      <c r="C244" s="393"/>
      <c r="D244" s="394"/>
      <c r="E244" s="394"/>
      <c r="F244" s="394"/>
      <c r="G244" s="400"/>
    </row>
    <row r="245" spans="1:7" ht="48">
      <c r="A245" s="89" t="s">
        <v>854</v>
      </c>
      <c r="B245" s="412" t="s">
        <v>1058</v>
      </c>
      <c r="C245" s="402" t="s">
        <v>1059</v>
      </c>
      <c r="D245" s="394" t="s">
        <v>958</v>
      </c>
      <c r="E245" s="394" t="s">
        <v>865</v>
      </c>
      <c r="F245" s="394" t="s">
        <v>1052</v>
      </c>
      <c r="G245" s="400"/>
    </row>
    <row r="246" spans="1:7" ht="45">
      <c r="A246" s="89" t="s">
        <v>855</v>
      </c>
      <c r="B246" s="412" t="s">
        <v>1538</v>
      </c>
      <c r="C246" s="402" t="s">
        <v>1059</v>
      </c>
      <c r="D246" s="394" t="s">
        <v>958</v>
      </c>
      <c r="E246" s="394" t="s">
        <v>856</v>
      </c>
      <c r="F246" s="394" t="s">
        <v>1053</v>
      </c>
      <c r="G246" s="400"/>
    </row>
    <row r="247" spans="1:7" ht="15">
      <c r="A247" s="387" t="s">
        <v>857</v>
      </c>
      <c r="B247" s="410" t="s">
        <v>844</v>
      </c>
      <c r="C247" s="393"/>
      <c r="D247" s="394"/>
      <c r="E247" s="394"/>
      <c r="F247" s="394"/>
      <c r="G247" s="400"/>
    </row>
    <row r="248" spans="1:7" ht="54.75" customHeight="1">
      <c r="A248" s="89" t="s">
        <v>43</v>
      </c>
      <c r="B248" s="412" t="s">
        <v>859</v>
      </c>
      <c r="C248" s="393" t="s">
        <v>858</v>
      </c>
      <c r="D248" s="394" t="s">
        <v>942</v>
      </c>
      <c r="E248" s="910" t="s">
        <v>1051</v>
      </c>
      <c r="F248" s="394"/>
      <c r="G248" s="413"/>
    </row>
    <row r="249" spans="1:7" ht="45">
      <c r="A249" s="89" t="s">
        <v>44</v>
      </c>
      <c r="B249" s="412" t="s">
        <v>860</v>
      </c>
      <c r="C249" s="393"/>
      <c r="D249" s="394" t="s">
        <v>942</v>
      </c>
      <c r="E249" s="910"/>
      <c r="F249" s="394"/>
      <c r="G249" s="413"/>
    </row>
    <row r="250" spans="1:7" ht="45">
      <c r="A250" s="89" t="s">
        <v>45</v>
      </c>
      <c r="B250" s="412" t="s">
        <v>861</v>
      </c>
      <c r="C250" s="393"/>
      <c r="D250" s="394" t="s">
        <v>942</v>
      </c>
      <c r="E250" s="910"/>
      <c r="F250" s="394"/>
      <c r="G250" s="413"/>
    </row>
    <row r="251" spans="1:7" ht="15">
      <c r="A251" s="387" t="s">
        <v>862</v>
      </c>
      <c r="B251" s="410" t="s">
        <v>769</v>
      </c>
      <c r="C251" s="393"/>
      <c r="D251" s="394"/>
      <c r="E251" s="394"/>
      <c r="F251" s="394"/>
      <c r="G251" s="400"/>
    </row>
    <row r="252" spans="1:7" ht="48">
      <c r="A252" s="89" t="s">
        <v>43</v>
      </c>
      <c r="B252" s="412" t="s">
        <v>1537</v>
      </c>
      <c r="C252" s="402" t="s">
        <v>1059</v>
      </c>
      <c r="D252" s="394" t="s">
        <v>911</v>
      </c>
      <c r="E252" s="394" t="s">
        <v>863</v>
      </c>
      <c r="F252" s="394" t="s">
        <v>1054</v>
      </c>
      <c r="G252" s="400"/>
    </row>
    <row r="253" spans="1:7" ht="46.5" customHeight="1">
      <c r="A253" s="89" t="s">
        <v>44</v>
      </c>
      <c r="B253" s="412" t="s">
        <v>1539</v>
      </c>
      <c r="C253" s="393" t="s">
        <v>1059</v>
      </c>
      <c r="D253" s="394" t="s">
        <v>911</v>
      </c>
      <c r="E253" s="394" t="s">
        <v>864</v>
      </c>
      <c r="F253" s="394" t="s">
        <v>1053</v>
      </c>
      <c r="G253" s="400"/>
    </row>
    <row r="254" spans="1:7" ht="15">
      <c r="A254" s="89" t="s">
        <v>866</v>
      </c>
      <c r="B254" s="410" t="s">
        <v>758</v>
      </c>
      <c r="C254" s="393"/>
      <c r="D254" s="394"/>
      <c r="E254" s="394"/>
      <c r="F254" s="394"/>
      <c r="G254" s="400"/>
    </row>
    <row r="255" spans="1:7" ht="60">
      <c r="A255" s="89" t="s">
        <v>43</v>
      </c>
      <c r="B255" s="412" t="s">
        <v>1040</v>
      </c>
      <c r="C255" s="393"/>
      <c r="D255" s="394" t="s">
        <v>911</v>
      </c>
      <c r="E255" s="414" t="s">
        <v>1081</v>
      </c>
      <c r="F255" s="394" t="s">
        <v>998</v>
      </c>
      <c r="G255" s="413"/>
    </row>
    <row r="256" spans="1:7" ht="48">
      <c r="A256" s="89" t="s">
        <v>44</v>
      </c>
      <c r="B256" s="412" t="s">
        <v>867</v>
      </c>
      <c r="C256" s="393"/>
      <c r="D256" s="394" t="s">
        <v>911</v>
      </c>
      <c r="E256" s="414" t="s">
        <v>1082</v>
      </c>
      <c r="F256" s="394" t="s">
        <v>991</v>
      </c>
      <c r="G256" s="413"/>
    </row>
    <row r="257" spans="1:7" ht="36">
      <c r="A257" s="89" t="s">
        <v>45</v>
      </c>
      <c r="B257" s="412" t="s">
        <v>868</v>
      </c>
      <c r="C257" s="393"/>
      <c r="D257" s="394" t="s">
        <v>911</v>
      </c>
      <c r="E257" s="414" t="s">
        <v>1083</v>
      </c>
      <c r="F257" s="394" t="s">
        <v>974</v>
      </c>
      <c r="G257" s="413"/>
    </row>
    <row r="258" spans="1:7" ht="24">
      <c r="A258" s="89" t="s">
        <v>46</v>
      </c>
      <c r="B258" s="412" t="s">
        <v>869</v>
      </c>
      <c r="C258" s="393"/>
      <c r="D258" s="394"/>
      <c r="E258" s="414" t="s">
        <v>975</v>
      </c>
      <c r="F258" s="394" t="s">
        <v>959</v>
      </c>
      <c r="G258" s="413"/>
    </row>
    <row r="259" spans="1:7" ht="60">
      <c r="A259" s="89" t="s">
        <v>47</v>
      </c>
      <c r="B259" s="412" t="s">
        <v>1041</v>
      </c>
      <c r="C259" s="393"/>
      <c r="D259" s="394" t="s">
        <v>911</v>
      </c>
      <c r="E259" s="414" t="s">
        <v>992</v>
      </c>
      <c r="F259" s="394" t="s">
        <v>998</v>
      </c>
      <c r="G259" s="413"/>
    </row>
    <row r="260" spans="1:7" ht="48">
      <c r="A260" s="89" t="s">
        <v>48</v>
      </c>
      <c r="B260" s="412" t="s">
        <v>870</v>
      </c>
      <c r="C260" s="393"/>
      <c r="D260" s="394" t="s">
        <v>911</v>
      </c>
      <c r="E260" s="414" t="s">
        <v>1202</v>
      </c>
      <c r="F260" s="394" t="s">
        <v>991</v>
      </c>
      <c r="G260" s="413"/>
    </row>
    <row r="261" spans="1:7" ht="30">
      <c r="A261" s="89" t="s">
        <v>49</v>
      </c>
      <c r="B261" s="412" t="s">
        <v>1201</v>
      </c>
      <c r="C261" s="393"/>
      <c r="D261" s="394" t="s">
        <v>911</v>
      </c>
      <c r="E261" s="414" t="s">
        <v>975</v>
      </c>
      <c r="F261" s="394" t="s">
        <v>1203</v>
      </c>
      <c r="G261" s="413"/>
    </row>
    <row r="262" spans="1:7" ht="30">
      <c r="A262" s="89" t="s">
        <v>50</v>
      </c>
      <c r="B262" s="412" t="s">
        <v>871</v>
      </c>
      <c r="C262" s="393"/>
      <c r="D262" s="394"/>
      <c r="E262" s="414" t="s">
        <v>975</v>
      </c>
      <c r="F262" s="392"/>
      <c r="G262" s="413"/>
    </row>
    <row r="263" spans="1:7" ht="15">
      <c r="A263" s="89" t="s">
        <v>872</v>
      </c>
      <c r="B263" s="410" t="s">
        <v>752</v>
      </c>
      <c r="C263" s="393"/>
      <c r="D263" s="394"/>
      <c r="E263" s="414"/>
      <c r="F263" s="392"/>
      <c r="G263" s="413"/>
    </row>
    <row r="264" spans="1:7" ht="60">
      <c r="A264" s="89" t="s">
        <v>43</v>
      </c>
      <c r="B264" s="412" t="s">
        <v>1042</v>
      </c>
      <c r="C264" s="920" t="s">
        <v>873</v>
      </c>
      <c r="D264" s="414"/>
      <c r="E264" s="414" t="s">
        <v>993</v>
      </c>
      <c r="F264" s="394" t="s">
        <v>998</v>
      </c>
      <c r="G264" s="413"/>
    </row>
    <row r="265" spans="1:7" ht="72">
      <c r="A265" s="89" t="s">
        <v>44</v>
      </c>
      <c r="B265" s="412" t="s">
        <v>874</v>
      </c>
      <c r="C265" s="920"/>
      <c r="D265" s="414"/>
      <c r="E265" s="414" t="s">
        <v>1084</v>
      </c>
      <c r="F265" s="394" t="s">
        <v>991</v>
      </c>
      <c r="G265" s="413"/>
    </row>
    <row r="266" spans="1:7" ht="15">
      <c r="A266" s="415" t="s">
        <v>709</v>
      </c>
      <c r="B266" s="410" t="s">
        <v>830</v>
      </c>
      <c r="C266" s="403"/>
      <c r="D266" s="414"/>
      <c r="E266" s="414"/>
      <c r="F266" s="392"/>
      <c r="G266" s="413"/>
    </row>
    <row r="267" spans="1:7" ht="30">
      <c r="A267" s="89" t="s">
        <v>43</v>
      </c>
      <c r="B267" s="412" t="s">
        <v>1169</v>
      </c>
      <c r="C267" s="403"/>
      <c r="D267" s="414"/>
      <c r="E267" s="910" t="s">
        <v>1598</v>
      </c>
      <c r="F267" s="392"/>
      <c r="G267" s="413"/>
    </row>
    <row r="268" spans="1:7" ht="30">
      <c r="A268" s="89" t="s">
        <v>44</v>
      </c>
      <c r="B268" s="412" t="s">
        <v>1170</v>
      </c>
      <c r="C268" s="403"/>
      <c r="D268" s="414"/>
      <c r="E268" s="910"/>
      <c r="F268" s="392"/>
      <c r="G268" s="413"/>
    </row>
    <row r="269" spans="1:7" ht="30">
      <c r="A269" s="89" t="s">
        <v>45</v>
      </c>
      <c r="B269" s="412" t="s">
        <v>1171</v>
      </c>
      <c r="C269" s="403"/>
      <c r="D269" s="414"/>
      <c r="E269" s="910"/>
      <c r="F269" s="392"/>
      <c r="G269" s="413"/>
    </row>
    <row r="270" spans="1:7" ht="30">
      <c r="A270" s="89" t="s">
        <v>46</v>
      </c>
      <c r="B270" s="412" t="s">
        <v>1172</v>
      </c>
      <c r="C270" s="403"/>
      <c r="D270" s="414"/>
      <c r="E270" s="910"/>
      <c r="F270" s="392"/>
      <c r="G270" s="413"/>
    </row>
    <row r="271" spans="1:7" ht="30">
      <c r="A271" s="89" t="s">
        <v>47</v>
      </c>
      <c r="B271" s="412" t="s">
        <v>1173</v>
      </c>
      <c r="C271" s="403"/>
      <c r="D271" s="414"/>
      <c r="E271" s="910"/>
      <c r="F271" s="392"/>
      <c r="G271" s="413"/>
    </row>
    <row r="272" spans="1:7" ht="30">
      <c r="A272" s="89" t="s">
        <v>48</v>
      </c>
      <c r="B272" s="412" t="s">
        <v>1174</v>
      </c>
      <c r="C272" s="403"/>
      <c r="D272" s="414"/>
      <c r="E272" s="910"/>
      <c r="F272" s="392"/>
      <c r="G272" s="413"/>
    </row>
    <row r="273" spans="1:7" ht="41.25" customHeight="1">
      <c r="A273" s="89" t="s">
        <v>49</v>
      </c>
      <c r="B273" s="412" t="s">
        <v>1175</v>
      </c>
      <c r="C273" s="403"/>
      <c r="D273" s="414"/>
      <c r="E273" s="910"/>
      <c r="F273" s="392"/>
      <c r="G273" s="413"/>
    </row>
    <row r="274" spans="1:7" s="408" customFormat="1" ht="15">
      <c r="A274" s="387" t="s">
        <v>839</v>
      </c>
      <c r="B274" s="410" t="s">
        <v>1211</v>
      </c>
      <c r="C274" s="643"/>
      <c r="D274" s="644"/>
      <c r="E274" s="644"/>
      <c r="F274" s="416"/>
      <c r="G274" s="645"/>
    </row>
    <row r="275" spans="1:7" ht="28.5" customHeight="1">
      <c r="A275" s="89" t="s">
        <v>43</v>
      </c>
      <c r="B275" s="412" t="s">
        <v>1546</v>
      </c>
      <c r="C275" s="921" t="s">
        <v>1607</v>
      </c>
      <c r="D275" s="414"/>
      <c r="E275" s="414"/>
      <c r="F275" s="392"/>
      <c r="G275" s="413"/>
    </row>
    <row r="276" spans="1:7" ht="15">
      <c r="A276" s="89" t="s">
        <v>44</v>
      </c>
      <c r="B276" s="412" t="s">
        <v>1213</v>
      </c>
      <c r="C276" s="922"/>
      <c r="D276" s="414"/>
      <c r="E276" s="414"/>
      <c r="F276" s="392"/>
      <c r="G276" s="413"/>
    </row>
    <row r="277" spans="1:7" ht="15">
      <c r="A277" s="89" t="s">
        <v>45</v>
      </c>
      <c r="B277" s="412" t="s">
        <v>1214</v>
      </c>
      <c r="C277" s="923"/>
      <c r="D277" s="414"/>
      <c r="E277" s="414"/>
      <c r="F277" s="392"/>
      <c r="G277" s="413"/>
    </row>
    <row r="278" spans="1:7" s="408" customFormat="1" ht="15">
      <c r="A278" s="387"/>
      <c r="B278" s="410"/>
      <c r="C278" s="643"/>
      <c r="D278" s="644"/>
      <c r="E278" s="644"/>
      <c r="F278" s="416"/>
      <c r="G278" s="645"/>
    </row>
    <row r="279" spans="1:7" s="408" customFormat="1" ht="15">
      <c r="A279" s="387" t="s">
        <v>938</v>
      </c>
      <c r="B279" s="399" t="s">
        <v>691</v>
      </c>
      <c r="C279" s="405"/>
      <c r="D279" s="406"/>
      <c r="E279" s="406"/>
      <c r="F279" s="416"/>
      <c r="G279" s="407"/>
    </row>
    <row r="280" spans="1:7" ht="15">
      <c r="A280" s="391" t="s">
        <v>43</v>
      </c>
      <c r="B280" s="392" t="s">
        <v>875</v>
      </c>
      <c r="C280" s="393"/>
      <c r="D280" s="394"/>
      <c r="E280" s="394"/>
      <c r="F280" s="394"/>
      <c r="G280" s="400"/>
    </row>
    <row r="281" spans="1:6" ht="15">
      <c r="A281" s="391"/>
      <c r="B281" s="392"/>
      <c r="C281" s="393"/>
      <c r="D281" s="394"/>
      <c r="E281" s="394"/>
      <c r="F281" s="394"/>
    </row>
    <row r="282" spans="1:6" ht="15">
      <c r="A282" s="409" t="s">
        <v>1073</v>
      </c>
      <c r="B282" s="416" t="s">
        <v>899</v>
      </c>
      <c r="C282" s="393"/>
      <c r="D282" s="394"/>
      <c r="E282" s="394"/>
      <c r="F282" s="394"/>
    </row>
    <row r="283" spans="1:6" ht="15">
      <c r="A283" s="391" t="s">
        <v>43</v>
      </c>
      <c r="B283" s="416" t="s">
        <v>898</v>
      </c>
      <c r="C283" s="393"/>
      <c r="D283" s="394"/>
      <c r="E283" s="394"/>
      <c r="F283" s="394"/>
    </row>
    <row r="284" spans="1:6" ht="30">
      <c r="A284" s="391"/>
      <c r="B284" s="417" t="s">
        <v>1109</v>
      </c>
      <c r="C284" s="393"/>
      <c r="D284" s="394"/>
      <c r="E284" s="394"/>
      <c r="F284" s="394"/>
    </row>
    <row r="285" spans="1:6" ht="15">
      <c r="A285" s="391" t="s">
        <v>44</v>
      </c>
      <c r="B285" s="416" t="s">
        <v>900</v>
      </c>
      <c r="C285" s="393"/>
      <c r="D285" s="394"/>
      <c r="E285" s="394"/>
      <c r="F285" s="394"/>
    </row>
    <row r="286" spans="1:6" ht="45">
      <c r="A286" s="391"/>
      <c r="B286" s="417" t="s">
        <v>1015</v>
      </c>
      <c r="C286" s="393"/>
      <c r="D286" s="394"/>
      <c r="E286" s="394"/>
      <c r="F286" s="392"/>
    </row>
    <row r="287" spans="1:6" ht="15">
      <c r="A287" s="391" t="s">
        <v>45</v>
      </c>
      <c r="B287" s="416" t="s">
        <v>905</v>
      </c>
      <c r="C287" s="393"/>
      <c r="D287" s="394"/>
      <c r="E287" s="394"/>
      <c r="F287" s="394"/>
    </row>
    <row r="288" spans="1:7" s="408" customFormat="1" ht="30">
      <c r="A288" s="409"/>
      <c r="B288" s="418" t="s">
        <v>1010</v>
      </c>
      <c r="C288" s="405"/>
      <c r="D288" s="406"/>
      <c r="E288" s="406"/>
      <c r="F288" s="416"/>
      <c r="G288" s="419"/>
    </row>
    <row r="289" spans="1:6" ht="15">
      <c r="A289" s="391" t="s">
        <v>46</v>
      </c>
      <c r="B289" s="416" t="s">
        <v>903</v>
      </c>
      <c r="C289" s="393"/>
      <c r="D289" s="394"/>
      <c r="E289" s="394"/>
      <c r="F289" s="394"/>
    </row>
    <row r="290" spans="1:6" ht="30">
      <c r="A290" s="391"/>
      <c r="B290" s="403" t="s">
        <v>1016</v>
      </c>
      <c r="C290" s="393"/>
      <c r="D290" s="394"/>
      <c r="E290" s="394"/>
      <c r="F290" s="394"/>
    </row>
    <row r="291" spans="1:6" ht="15">
      <c r="A291" s="391" t="s">
        <v>47</v>
      </c>
      <c r="B291" s="416" t="s">
        <v>904</v>
      </c>
      <c r="C291" s="393"/>
      <c r="D291" s="394"/>
      <c r="E291" s="394"/>
      <c r="F291" s="394"/>
    </row>
    <row r="292" spans="1:6" ht="45">
      <c r="A292" s="391"/>
      <c r="B292" s="418" t="s">
        <v>1017</v>
      </c>
      <c r="C292" s="393"/>
      <c r="D292" s="394"/>
      <c r="E292" s="394"/>
      <c r="F292" s="394"/>
    </row>
    <row r="293" spans="1:6" ht="15">
      <c r="A293" s="391" t="s">
        <v>48</v>
      </c>
      <c r="B293" s="416" t="s">
        <v>1070</v>
      </c>
      <c r="C293" s="393"/>
      <c r="D293" s="394"/>
      <c r="E293" s="394"/>
      <c r="F293" s="394"/>
    </row>
    <row r="294" spans="1:6" ht="60">
      <c r="A294" s="391"/>
      <c r="B294" s="418" t="s">
        <v>999</v>
      </c>
      <c r="C294" s="393"/>
      <c r="D294" s="394"/>
      <c r="E294" s="394"/>
      <c r="F294" s="394"/>
    </row>
    <row r="295" spans="1:7" s="408" customFormat="1" ht="15">
      <c r="A295" s="409" t="s">
        <v>1210</v>
      </c>
      <c r="B295" s="420" t="s">
        <v>853</v>
      </c>
      <c r="C295" s="405"/>
      <c r="D295" s="406"/>
      <c r="E295" s="406"/>
      <c r="F295" s="406"/>
      <c r="G295" s="419"/>
    </row>
    <row r="296" spans="1:6" ht="30">
      <c r="A296" s="91" t="s">
        <v>43</v>
      </c>
      <c r="B296" s="425" t="s">
        <v>1078</v>
      </c>
      <c r="C296" s="393"/>
      <c r="D296" s="394"/>
      <c r="E296" s="394"/>
      <c r="F296" s="394"/>
    </row>
    <row r="297" spans="1:6" ht="15">
      <c r="A297" s="391"/>
      <c r="B297" s="418"/>
      <c r="C297" s="393"/>
      <c r="D297" s="394"/>
      <c r="E297" s="394"/>
      <c r="F297" s="394"/>
    </row>
    <row r="298" spans="1:6" ht="15">
      <c r="A298" s="409" t="s">
        <v>1212</v>
      </c>
      <c r="B298" s="416" t="s">
        <v>939</v>
      </c>
      <c r="C298" s="393"/>
      <c r="D298" s="394"/>
      <c r="E298" s="393"/>
      <c r="F298" s="394"/>
    </row>
    <row r="299" spans="1:6" ht="15">
      <c r="A299" s="391" t="s">
        <v>892</v>
      </c>
      <c r="B299" s="392" t="s">
        <v>889</v>
      </c>
      <c r="C299" s="393"/>
      <c r="D299" s="394"/>
      <c r="E299" s="393"/>
      <c r="F299" s="394"/>
    </row>
    <row r="300" spans="1:6" ht="15">
      <c r="A300" s="391" t="s">
        <v>893</v>
      </c>
      <c r="B300" s="392" t="s">
        <v>890</v>
      </c>
      <c r="C300" s="393"/>
      <c r="D300" s="394"/>
      <c r="E300" s="393"/>
      <c r="F300" s="394"/>
    </row>
    <row r="301" spans="1:6" ht="15">
      <c r="A301" s="391" t="s">
        <v>894</v>
      </c>
      <c r="B301" s="392" t="s">
        <v>887</v>
      </c>
      <c r="C301" s="393"/>
      <c r="D301" s="394"/>
      <c r="E301" s="393"/>
      <c r="F301" s="394"/>
    </row>
    <row r="302" spans="1:6" ht="15">
      <c r="A302" s="391" t="s">
        <v>895</v>
      </c>
      <c r="B302" s="392" t="s">
        <v>888</v>
      </c>
      <c r="C302" s="393"/>
      <c r="D302" s="394"/>
      <c r="E302" s="393"/>
      <c r="F302" s="394"/>
    </row>
    <row r="303" spans="1:6" ht="15">
      <c r="A303" s="391" t="s">
        <v>896</v>
      </c>
      <c r="B303" s="421" t="s">
        <v>885</v>
      </c>
      <c r="C303" s="393"/>
      <c r="D303" s="394"/>
      <c r="E303" s="393"/>
      <c r="F303" s="394"/>
    </row>
    <row r="304" spans="1:6" ht="15">
      <c r="A304" s="391" t="s">
        <v>897</v>
      </c>
      <c r="B304" s="421" t="s">
        <v>886</v>
      </c>
      <c r="C304" s="393"/>
      <c r="D304" s="394"/>
      <c r="E304" s="393"/>
      <c r="F304" s="394"/>
    </row>
    <row r="305" spans="1:6" ht="15">
      <c r="A305" s="391" t="s">
        <v>901</v>
      </c>
      <c r="B305" s="421" t="s">
        <v>902</v>
      </c>
      <c r="C305" s="393"/>
      <c r="D305" s="394"/>
      <c r="E305" s="393"/>
      <c r="F305" s="394"/>
    </row>
    <row r="306" spans="1:6" ht="15">
      <c r="A306" s="391" t="s">
        <v>960</v>
      </c>
      <c r="B306" s="392" t="s">
        <v>941</v>
      </c>
      <c r="C306" s="393"/>
      <c r="D306" s="394"/>
      <c r="E306" s="393"/>
      <c r="F306" s="394"/>
    </row>
    <row r="307" ht="15">
      <c r="A307" s="390"/>
    </row>
    <row r="308" ht="15">
      <c r="A308" s="390"/>
    </row>
  </sheetData>
  <sheetProtection password="E2BB" sheet="1"/>
  <mergeCells count="13">
    <mergeCell ref="C275:C277"/>
    <mergeCell ref="A1:F1"/>
    <mergeCell ref="E248:E250"/>
    <mergeCell ref="C264:C265"/>
    <mergeCell ref="C110:C111"/>
    <mergeCell ref="D239:D242"/>
    <mergeCell ref="E239:E242"/>
    <mergeCell ref="F239:F242"/>
    <mergeCell ref="A4:F4"/>
    <mergeCell ref="A5:F5"/>
    <mergeCell ref="C239:C242"/>
    <mergeCell ref="E267:E273"/>
    <mergeCell ref="C36:C41"/>
  </mergeCells>
  <printOptions horizontalCentered="1"/>
  <pageMargins left="0.11811023622047245" right="0" top="0.35433070866141736" bottom="0.35433070866141736" header="0.31496062992125984" footer="0.31496062992125984"/>
  <pageSetup horizontalDpi="600" verticalDpi="600" orientation="landscape" paperSize="9" scale="70" r:id="rId1"/>
  <headerFooter>
    <oddFooter>&amp;C&amp;P&amp;RNote: Not to be quoted and not to be published without prior permission</oddFooter>
  </headerFooter>
</worksheet>
</file>

<file path=xl/worksheets/sheet10.xml><?xml version="1.0" encoding="utf-8"?>
<worksheet xmlns="http://schemas.openxmlformats.org/spreadsheetml/2006/main" xmlns:r="http://schemas.openxmlformats.org/officeDocument/2006/relationships">
  <dimension ref="A1:N33"/>
  <sheetViews>
    <sheetView zoomScalePageLayoutView="0" workbookViewId="0" topLeftCell="A20">
      <selection activeCell="F25" sqref="F25"/>
    </sheetView>
  </sheetViews>
  <sheetFormatPr defaultColWidth="9.140625" defaultRowHeight="15"/>
  <cols>
    <col min="2" max="2" width="35.28125" style="0" customWidth="1"/>
    <col min="3" max="3" width="25.7109375" style="0" customWidth="1"/>
    <col min="4" max="4" width="14.57421875" style="0" customWidth="1"/>
    <col min="5" max="5" width="12.28125" style="0" customWidth="1"/>
    <col min="6" max="6" width="12.7109375" style="0" customWidth="1"/>
    <col min="7" max="7" width="11.57421875" style="0" customWidth="1"/>
    <col min="8" max="8" width="12.7109375" style="0" customWidth="1"/>
    <col min="10" max="10" width="12.00390625" style="0" customWidth="1"/>
    <col min="11" max="11" width="11.7109375" style="0" customWidth="1"/>
    <col min="12" max="12" width="12.28125" style="0" customWidth="1"/>
    <col min="13" max="13" width="10.8515625" style="0" customWidth="1"/>
    <col min="14" max="14" width="12.421875" style="0" customWidth="1"/>
  </cols>
  <sheetData>
    <row r="1" spans="1:14" ht="23.25">
      <c r="A1" s="1082" t="s">
        <v>1089</v>
      </c>
      <c r="B1" s="1082"/>
      <c r="C1" s="1082"/>
      <c r="D1" s="1082"/>
      <c r="E1" s="1082"/>
      <c r="F1" s="1082"/>
      <c r="G1" s="1082"/>
      <c r="H1" s="1082"/>
      <c r="I1" s="1082"/>
      <c r="J1" s="1082"/>
      <c r="K1" s="1082"/>
      <c r="L1" s="1082"/>
      <c r="M1" s="1082"/>
      <c r="N1" s="1082"/>
    </row>
    <row r="2" spans="1:14" ht="18.75">
      <c r="A2" s="1083" t="str">
        <f>'Summary Sheet'!A3:B3</f>
        <v>Name of the Unit</v>
      </c>
      <c r="B2" s="1084"/>
      <c r="C2" s="1087" t="str">
        <f>'Summary Sheet'!C3</f>
        <v>  </v>
      </c>
      <c r="D2" s="1087"/>
      <c r="E2" s="1087"/>
      <c r="F2" s="1087"/>
      <c r="G2" s="1087"/>
      <c r="H2" s="1087"/>
      <c r="I2" s="1087"/>
      <c r="J2" s="1087"/>
      <c r="K2" s="1087"/>
      <c r="L2" s="1087"/>
      <c r="M2" s="1087"/>
      <c r="N2" s="1087"/>
    </row>
    <row r="3" spans="1:14" ht="15">
      <c r="A3" s="1085" t="s">
        <v>826</v>
      </c>
      <c r="B3" s="1085"/>
      <c r="C3" s="1086" t="s">
        <v>689</v>
      </c>
      <c r="D3" s="1086"/>
      <c r="E3" s="637" t="str">
        <f>'Form-Sb'!F549</f>
        <v>Yes</v>
      </c>
      <c r="F3" s="637" t="str">
        <f>'Form-Sb'!G549</f>
        <v>Yes</v>
      </c>
      <c r="G3" s="1009"/>
      <c r="H3" s="1009"/>
      <c r="I3" s="1009"/>
      <c r="J3" s="1009"/>
      <c r="K3" s="1009"/>
      <c r="L3" s="1009"/>
      <c r="M3" s="1009"/>
      <c r="N3" s="1009"/>
    </row>
    <row r="4" spans="1:14" ht="18.75">
      <c r="A4" s="1080"/>
      <c r="B4" s="1080"/>
      <c r="C4" s="391"/>
      <c r="D4" s="547"/>
      <c r="E4" s="1081" t="s">
        <v>411</v>
      </c>
      <c r="F4" s="1081"/>
      <c r="G4" s="1074" t="s">
        <v>412</v>
      </c>
      <c r="H4" s="1075"/>
      <c r="I4" s="1076" t="s">
        <v>413</v>
      </c>
      <c r="J4" s="1075"/>
      <c r="K4" s="1076" t="s">
        <v>414</v>
      </c>
      <c r="L4" s="1075"/>
      <c r="M4" s="1076" t="s">
        <v>418</v>
      </c>
      <c r="N4" s="1075"/>
    </row>
    <row r="5" spans="1:14" ht="75">
      <c r="A5" s="432" t="s">
        <v>368</v>
      </c>
      <c r="B5" s="548" t="s">
        <v>388</v>
      </c>
      <c r="C5" s="548" t="s">
        <v>389</v>
      </c>
      <c r="D5" s="548" t="s">
        <v>390</v>
      </c>
      <c r="E5" s="572" t="str">
        <f>'Base line Parameters'!E5</f>
        <v>Baseline Year (Average of year1 to Year 3)</v>
      </c>
      <c r="F5" s="572" t="str">
        <f>'Base line Parameters'!F5</f>
        <v>Current/Assessment /Target Year    (20__-20__)</v>
      </c>
      <c r="G5" s="310" t="s">
        <v>417</v>
      </c>
      <c r="H5" s="572" t="str">
        <f>F5</f>
        <v>Current/Assessment /Target Year    (20__-20__)</v>
      </c>
      <c r="I5" s="310" t="s">
        <v>417</v>
      </c>
      <c r="J5" s="572" t="str">
        <f>F5</f>
        <v>Current/Assessment /Target Year    (20__-20__)</v>
      </c>
      <c r="K5" s="310" t="s">
        <v>417</v>
      </c>
      <c r="L5" s="572" t="str">
        <f>F5</f>
        <v>Current/Assessment /Target Year    (20__-20__)</v>
      </c>
      <c r="M5" s="310" t="s">
        <v>417</v>
      </c>
      <c r="N5" s="572" t="str">
        <f>F5</f>
        <v>Current/Assessment /Target Year    (20__-20__)</v>
      </c>
    </row>
    <row r="6" spans="1:14" ht="15">
      <c r="A6" s="91">
        <v>1</v>
      </c>
      <c r="B6" s="549" t="s">
        <v>391</v>
      </c>
      <c r="C6" s="549" t="s">
        <v>1476</v>
      </c>
      <c r="D6" s="549" t="s">
        <v>392</v>
      </c>
      <c r="E6" s="348">
        <f>'Form-Sb'!F33</f>
        <v>0</v>
      </c>
      <c r="F6" s="348">
        <f>'Form-Sb'!G33</f>
        <v>0</v>
      </c>
      <c r="G6" s="348">
        <f>'Form-Sb'!F47</f>
        <v>0</v>
      </c>
      <c r="H6" s="348">
        <f>'Form-Sb'!G47</f>
        <v>0</v>
      </c>
      <c r="I6" s="348">
        <f>'Form-Sb'!F61</f>
        <v>0</v>
      </c>
      <c r="J6" s="348">
        <f>'Form-Sb'!G61</f>
        <v>0</v>
      </c>
      <c r="K6" s="348">
        <f>'Form-Sb'!F75</f>
        <v>0</v>
      </c>
      <c r="L6" s="348">
        <f>'Form-Sb'!G75</f>
        <v>0</v>
      </c>
      <c r="M6" s="348">
        <f>'Form-Sb'!F89</f>
        <v>0</v>
      </c>
      <c r="N6" s="348">
        <f>'Form-Sb'!G89</f>
        <v>0</v>
      </c>
    </row>
    <row r="7" spans="1:14" ht="15">
      <c r="A7" s="91">
        <v>2</v>
      </c>
      <c r="B7" s="549" t="s">
        <v>393</v>
      </c>
      <c r="C7" s="549" t="s">
        <v>1466</v>
      </c>
      <c r="D7" s="549" t="s">
        <v>238</v>
      </c>
      <c r="E7" s="348">
        <f>'Base line Parameters'!$E$58</f>
        <v>0</v>
      </c>
      <c r="F7" s="348">
        <f>'Base line Parameters'!$F$58</f>
        <v>0</v>
      </c>
      <c r="G7" s="348">
        <f>'Base line Parameters'!$E$58</f>
        <v>0</v>
      </c>
      <c r="H7" s="348">
        <f>'Base line Parameters'!$F$58</f>
        <v>0</v>
      </c>
      <c r="I7" s="348">
        <f>'Base line Parameters'!$E$58</f>
        <v>0</v>
      </c>
      <c r="J7" s="348">
        <f>'Base line Parameters'!$F$58</f>
        <v>0</v>
      </c>
      <c r="K7" s="348">
        <f>'Base line Parameters'!$E$58</f>
        <v>0</v>
      </c>
      <c r="L7" s="348">
        <f>'Base line Parameters'!$F$58</f>
        <v>0</v>
      </c>
      <c r="M7" s="348">
        <f>'Base line Parameters'!$E$58</f>
        <v>0</v>
      </c>
      <c r="N7" s="348">
        <f>'Base line Parameters'!$F$58</f>
        <v>0</v>
      </c>
    </row>
    <row r="8" spans="1:14" ht="15">
      <c r="A8" s="91">
        <v>3</v>
      </c>
      <c r="B8" s="549" t="s">
        <v>394</v>
      </c>
      <c r="C8" s="549" t="s">
        <v>1477</v>
      </c>
      <c r="D8" s="549" t="s">
        <v>159</v>
      </c>
      <c r="E8" s="348">
        <f>'Form-Sb'!F36</f>
        <v>0</v>
      </c>
      <c r="F8" s="348">
        <f>'Form-Sb'!G36</f>
        <v>0</v>
      </c>
      <c r="G8" s="348">
        <f>'Form-Sb'!F50</f>
        <v>0</v>
      </c>
      <c r="H8" s="348">
        <f>'Form-Sb'!G50</f>
        <v>0</v>
      </c>
      <c r="I8" s="348">
        <f>'Form-Sb'!F64</f>
        <v>0</v>
      </c>
      <c r="J8" s="348">
        <f>'Form-Sb'!G64</f>
        <v>0</v>
      </c>
      <c r="K8" s="348">
        <f>'Form-Sb'!F78</f>
        <v>0</v>
      </c>
      <c r="L8" s="348">
        <f>'Form-Sb'!G78</f>
        <v>0</v>
      </c>
      <c r="M8" s="348">
        <f>'Form-Sb'!F92</f>
        <v>0</v>
      </c>
      <c r="N8" s="348">
        <f>'Form-Sb'!G92</f>
        <v>0</v>
      </c>
    </row>
    <row r="9" spans="1:14" ht="15">
      <c r="A9" s="91">
        <v>4</v>
      </c>
      <c r="B9" s="549" t="s">
        <v>1065</v>
      </c>
      <c r="C9" s="549" t="s">
        <v>687</v>
      </c>
      <c r="D9" s="549" t="s">
        <v>395</v>
      </c>
      <c r="E9" s="348">
        <f>IF(E8=0,0,E6/(E8))</f>
        <v>0</v>
      </c>
      <c r="F9" s="348">
        <f aca="true" t="shared" si="0" ref="F9:N9">IF(F8=0,0,F6/(F8))</f>
        <v>0</v>
      </c>
      <c r="G9" s="348">
        <f t="shared" si="0"/>
        <v>0</v>
      </c>
      <c r="H9" s="348">
        <f t="shared" si="0"/>
        <v>0</v>
      </c>
      <c r="I9" s="348">
        <f t="shared" si="0"/>
        <v>0</v>
      </c>
      <c r="J9" s="348">
        <f t="shared" si="0"/>
        <v>0</v>
      </c>
      <c r="K9" s="348">
        <f t="shared" si="0"/>
        <v>0</v>
      </c>
      <c r="L9" s="348">
        <f t="shared" si="0"/>
        <v>0</v>
      </c>
      <c r="M9" s="348">
        <f t="shared" si="0"/>
        <v>0</v>
      </c>
      <c r="N9" s="348">
        <f t="shared" si="0"/>
        <v>0</v>
      </c>
    </row>
    <row r="10" spans="1:14" ht="30">
      <c r="A10" s="91">
        <v>5</v>
      </c>
      <c r="B10" s="425" t="s">
        <v>705</v>
      </c>
      <c r="C10" s="549" t="s">
        <v>1478</v>
      </c>
      <c r="D10" s="549" t="s">
        <v>697</v>
      </c>
      <c r="E10" s="348">
        <f>'Form-Sb'!F42</f>
        <v>0</v>
      </c>
      <c r="F10" s="348">
        <f>'Form-Sb'!G42</f>
        <v>0</v>
      </c>
      <c r="G10" s="550">
        <f>'Form-Sb'!F56</f>
        <v>0</v>
      </c>
      <c r="H10" s="550">
        <f>'Form-Sb'!G56</f>
        <v>0</v>
      </c>
      <c r="I10" s="550">
        <f>'Form-Sb'!F70</f>
        <v>0</v>
      </c>
      <c r="J10" s="550">
        <f>'Form-Sb'!G70</f>
        <v>0</v>
      </c>
      <c r="K10" s="550">
        <f>'Form-Sb'!F84</f>
        <v>0</v>
      </c>
      <c r="L10" s="550">
        <f>'Form-Sb'!G84</f>
        <v>0</v>
      </c>
      <c r="M10" s="550">
        <f>'Form-Sb'!F98</f>
        <v>0</v>
      </c>
      <c r="N10" s="550">
        <f>'Form-Sb'!G98</f>
        <v>0</v>
      </c>
    </row>
    <row r="11" spans="1:14" ht="45">
      <c r="A11" s="91">
        <v>6</v>
      </c>
      <c r="B11" s="551" t="s">
        <v>817</v>
      </c>
      <c r="C11" s="549" t="s">
        <v>1479</v>
      </c>
      <c r="D11" s="552" t="s">
        <v>1071</v>
      </c>
      <c r="E11" s="553">
        <f>'Form-Sb'!F43</f>
        <v>0</v>
      </c>
      <c r="F11" s="553">
        <f>'Form-Sb'!G43</f>
        <v>0</v>
      </c>
      <c r="G11" s="550">
        <f>'Form-Sb'!F57</f>
        <v>0</v>
      </c>
      <c r="H11" s="550">
        <f>'Form-Sb'!G57</f>
        <v>0</v>
      </c>
      <c r="I11" s="550">
        <f>'Form-Sb'!F71</f>
        <v>0</v>
      </c>
      <c r="J11" s="550">
        <f>'Form-Sb'!G71</f>
        <v>0</v>
      </c>
      <c r="K11" s="550">
        <f>'Form-Sb'!F85</f>
        <v>0</v>
      </c>
      <c r="L11" s="550">
        <f>'Form-Sb'!G85</f>
        <v>0</v>
      </c>
      <c r="M11" s="550">
        <f>'Form-Sb'!F99</f>
        <v>0</v>
      </c>
      <c r="N11" s="550">
        <f>'Form-Sb'!G99</f>
        <v>0</v>
      </c>
    </row>
    <row r="12" spans="1:14" ht="45">
      <c r="A12" s="91">
        <v>7</v>
      </c>
      <c r="B12" s="551" t="s">
        <v>816</v>
      </c>
      <c r="C12" s="549" t="s">
        <v>1480</v>
      </c>
      <c r="D12" s="552" t="s">
        <v>1071</v>
      </c>
      <c r="E12" s="553">
        <f>'Form-Sb'!F40</f>
        <v>0</v>
      </c>
      <c r="F12" s="553">
        <f>'Form-Sb'!G40</f>
        <v>0</v>
      </c>
      <c r="G12" s="348">
        <f>'Form-Sb'!F54</f>
        <v>0</v>
      </c>
      <c r="H12" s="348">
        <f>'Form-Sb'!G54</f>
        <v>0</v>
      </c>
      <c r="I12" s="348">
        <f>'Form-Sb'!F68</f>
        <v>0</v>
      </c>
      <c r="J12" s="348">
        <f>'Form-Sb'!G68</f>
        <v>0</v>
      </c>
      <c r="K12" s="348">
        <f>'Form-Sb'!F82</f>
        <v>0</v>
      </c>
      <c r="L12" s="348">
        <f>'Form-Sb'!G82</f>
        <v>0</v>
      </c>
      <c r="M12" s="348">
        <f>'Form-Sb'!F96</f>
        <v>0</v>
      </c>
      <c r="N12" s="348">
        <f>'Form-Sb'!G96</f>
        <v>0</v>
      </c>
    </row>
    <row r="13" spans="1:14" ht="15">
      <c r="A13" s="1009" t="s">
        <v>818</v>
      </c>
      <c r="B13" s="1009"/>
      <c r="C13" s="1009"/>
      <c r="D13" s="1009"/>
      <c r="E13" s="1009"/>
      <c r="F13" s="1009"/>
      <c r="G13" s="1009"/>
      <c r="H13" s="1009"/>
      <c r="I13" s="1009"/>
      <c r="J13" s="1009"/>
      <c r="K13" s="1009"/>
      <c r="L13" s="1009"/>
      <c r="M13" s="1009"/>
      <c r="N13" s="1009"/>
    </row>
    <row r="14" spans="1:14" ht="45">
      <c r="A14" s="91">
        <v>9</v>
      </c>
      <c r="B14" s="549" t="s">
        <v>1066</v>
      </c>
      <c r="C14" s="554" t="s">
        <v>396</v>
      </c>
      <c r="D14" s="549" t="s">
        <v>397</v>
      </c>
      <c r="E14" s="348">
        <f>'Form-Sb'!F34</f>
        <v>0</v>
      </c>
      <c r="F14" s="348">
        <f>IF(F9&lt;E9,E14+0.4673*(E9-F9),E14)</f>
        <v>0</v>
      </c>
      <c r="G14" s="348">
        <f>'Form-Sb'!F48</f>
        <v>0</v>
      </c>
      <c r="H14" s="348">
        <f>IF(H9&lt;G9,G14+0.4673*(G9-H9),G14)</f>
        <v>0</v>
      </c>
      <c r="I14" s="348">
        <f>'Form-Sb'!F62</f>
        <v>0</v>
      </c>
      <c r="J14" s="348">
        <f>IF(J9&lt;I9,I14+0.4673*(I9-J9),I14)</f>
        <v>0</v>
      </c>
      <c r="K14" s="348">
        <f>'Form-Sb'!F76</f>
        <v>0</v>
      </c>
      <c r="L14" s="348">
        <f>IF(L9&lt;K9,K14+0.4673*(K9-L9),K14)</f>
        <v>0</v>
      </c>
      <c r="M14" s="348">
        <f>'Form-Sb'!F90</f>
        <v>0</v>
      </c>
      <c r="N14" s="348">
        <f>IF(N9&lt;M9,M14+0.4673*(M9-N9),M14)</f>
        <v>0</v>
      </c>
    </row>
    <row r="15" spans="1:14" ht="45">
      <c r="A15" s="91">
        <v>10</v>
      </c>
      <c r="B15" s="549" t="s">
        <v>398</v>
      </c>
      <c r="C15" s="425" t="s">
        <v>399</v>
      </c>
      <c r="D15" s="549" t="s">
        <v>397</v>
      </c>
      <c r="E15" s="348"/>
      <c r="F15" s="348">
        <f>F14-E14</f>
        <v>0</v>
      </c>
      <c r="G15" s="348"/>
      <c r="H15" s="348">
        <f>H14-G14</f>
        <v>0</v>
      </c>
      <c r="I15" s="348"/>
      <c r="J15" s="348">
        <f>J14-I14</f>
        <v>0</v>
      </c>
      <c r="K15" s="348"/>
      <c r="L15" s="348">
        <f>L14-K14</f>
        <v>0</v>
      </c>
      <c r="M15" s="348"/>
      <c r="N15" s="348">
        <f>N14-M14</f>
        <v>0</v>
      </c>
    </row>
    <row r="16" spans="1:14" ht="60">
      <c r="A16" s="448">
        <v>11</v>
      </c>
      <c r="B16" s="555" t="s">
        <v>707</v>
      </c>
      <c r="C16" s="556" t="s">
        <v>706</v>
      </c>
      <c r="D16" s="548" t="s">
        <v>231</v>
      </c>
      <c r="E16" s="557"/>
      <c r="F16" s="557">
        <f>(0.1829*F9+197.41)*(F10-E10)</f>
        <v>0</v>
      </c>
      <c r="G16" s="557"/>
      <c r="H16" s="557">
        <f>(0.1829*H9+197.41)*(H10-G10)</f>
        <v>0</v>
      </c>
      <c r="I16" s="557"/>
      <c r="J16" s="557">
        <f>(0.1829*J9+197.41)*(J10-I10)</f>
        <v>0</v>
      </c>
      <c r="K16" s="557"/>
      <c r="L16" s="557">
        <f>(0.1829*L9+197.41)*(L10-K10)</f>
        <v>0</v>
      </c>
      <c r="M16" s="557"/>
      <c r="N16" s="557">
        <f>(0.1829*N9+197.41)*(N10-M10)</f>
        <v>0</v>
      </c>
    </row>
    <row r="17" spans="1:14" ht="30">
      <c r="A17" s="432">
        <v>12</v>
      </c>
      <c r="B17" s="555" t="s">
        <v>400</v>
      </c>
      <c r="C17" s="548" t="s">
        <v>1481</v>
      </c>
      <c r="D17" s="548" t="s">
        <v>231</v>
      </c>
      <c r="E17" s="558"/>
      <c r="F17" s="558">
        <f>F6*F15/1000</f>
        <v>0</v>
      </c>
      <c r="G17" s="558"/>
      <c r="H17" s="558">
        <f>H6*H15/1000</f>
        <v>0</v>
      </c>
      <c r="I17" s="558"/>
      <c r="J17" s="558">
        <f>J6*J15/1000</f>
        <v>0</v>
      </c>
      <c r="K17" s="558"/>
      <c r="L17" s="558">
        <f>L6*L15/1000</f>
        <v>0</v>
      </c>
      <c r="M17" s="558"/>
      <c r="N17" s="558">
        <f>N6*N15/1000</f>
        <v>0</v>
      </c>
    </row>
    <row r="18" spans="1:14" ht="15">
      <c r="A18" s="91"/>
      <c r="B18" s="36"/>
      <c r="C18" s="36"/>
      <c r="D18" s="36"/>
      <c r="E18" s="36"/>
      <c r="F18" s="36"/>
      <c r="G18" s="36"/>
      <c r="H18" s="36"/>
      <c r="I18" s="36"/>
      <c r="J18" s="36"/>
      <c r="K18" s="36"/>
      <c r="L18" s="36"/>
      <c r="M18" s="36"/>
      <c r="N18" s="36"/>
    </row>
    <row r="19" spans="1:14" ht="15">
      <c r="A19" s="1009" t="s">
        <v>819</v>
      </c>
      <c r="B19" s="1009"/>
      <c r="C19" s="1009"/>
      <c r="D19" s="1009"/>
      <c r="E19" s="1009"/>
      <c r="F19" s="1009"/>
      <c r="G19" s="1009"/>
      <c r="H19" s="1009"/>
      <c r="I19" s="1009"/>
      <c r="J19" s="1009"/>
      <c r="K19" s="1009"/>
      <c r="L19" s="1009"/>
      <c r="M19" s="1009"/>
      <c r="N19" s="1009"/>
    </row>
    <row r="20" spans="1:14" ht="45">
      <c r="A20" s="91">
        <v>13</v>
      </c>
      <c r="B20" s="36" t="s">
        <v>401</v>
      </c>
      <c r="C20" s="88" t="s">
        <v>402</v>
      </c>
      <c r="D20" s="36" t="s">
        <v>403</v>
      </c>
      <c r="E20" s="348">
        <f>'Form-Sb'!F35</f>
        <v>0</v>
      </c>
      <c r="F20" s="348">
        <f>IF(F9&lt;E9,E20+0.0943*(E9-F9),E20)</f>
        <v>0</v>
      </c>
      <c r="G20" s="348">
        <f>'Form-Sb'!F49</f>
        <v>0</v>
      </c>
      <c r="H20" s="348">
        <f>IF(H9&lt;G9,G20+0.0943*(G9-H9),G20)</f>
        <v>0</v>
      </c>
      <c r="I20" s="348">
        <f>'Form-Sb'!F63</f>
        <v>0</v>
      </c>
      <c r="J20" s="348">
        <f>IF(J9&lt;I9,I20+0.0943*(I9-J9),I20)</f>
        <v>0</v>
      </c>
      <c r="K20" s="348">
        <f>'Form-Sb'!F77</f>
        <v>0</v>
      </c>
      <c r="L20" s="348">
        <f>IF(L9&lt;K9,K20+0.0943*(K9-L9),K20)</f>
        <v>0</v>
      </c>
      <c r="M20" s="348">
        <f>'Form-Sb'!F91</f>
        <v>0</v>
      </c>
      <c r="N20" s="348">
        <f>IF(N9&lt;M9,M20+0.0943*(M9-N9),M20)</f>
        <v>0</v>
      </c>
    </row>
    <row r="21" spans="1:14" ht="30">
      <c r="A21" s="91">
        <v>14</v>
      </c>
      <c r="B21" s="36" t="s">
        <v>404</v>
      </c>
      <c r="C21" s="88" t="s">
        <v>405</v>
      </c>
      <c r="D21" s="36" t="s">
        <v>403</v>
      </c>
      <c r="E21" s="559"/>
      <c r="F21" s="348">
        <f>F20-E20</f>
        <v>0</v>
      </c>
      <c r="G21" s="560"/>
      <c r="H21" s="348">
        <f>H20-G20</f>
        <v>0</v>
      </c>
      <c r="I21" s="560"/>
      <c r="J21" s="348">
        <f>J20-I20</f>
        <v>0</v>
      </c>
      <c r="K21" s="560"/>
      <c r="L21" s="348">
        <f>L20-K20</f>
        <v>0</v>
      </c>
      <c r="M21" s="560"/>
      <c r="N21" s="348">
        <f>N20-M20</f>
        <v>0</v>
      </c>
    </row>
    <row r="22" spans="1:14" ht="45">
      <c r="A22" s="432">
        <v>15</v>
      </c>
      <c r="B22" s="555" t="s">
        <v>1072</v>
      </c>
      <c r="C22" s="561" t="s">
        <v>821</v>
      </c>
      <c r="D22" s="548" t="s">
        <v>231</v>
      </c>
      <c r="E22" s="562"/>
      <c r="F22" s="558">
        <f>F6*F21*F7/10^6</f>
        <v>0</v>
      </c>
      <c r="G22" s="563"/>
      <c r="H22" s="558">
        <f>H6*H21*H7/10^6</f>
        <v>0</v>
      </c>
      <c r="I22" s="563"/>
      <c r="J22" s="558">
        <f>J6*J21*J7/10^6</f>
        <v>0</v>
      </c>
      <c r="K22" s="563"/>
      <c r="L22" s="558">
        <f>L6*L21*L7/10^6</f>
        <v>0</v>
      </c>
      <c r="M22" s="563"/>
      <c r="N22" s="558">
        <f>N6*N21*N7/10^6</f>
        <v>0</v>
      </c>
    </row>
    <row r="23" spans="1:14" ht="60">
      <c r="A23" s="432">
        <v>16</v>
      </c>
      <c r="B23" s="555" t="s">
        <v>820</v>
      </c>
      <c r="C23" s="311" t="s">
        <v>1112</v>
      </c>
      <c r="D23" s="548" t="s">
        <v>231</v>
      </c>
      <c r="E23" s="562"/>
      <c r="F23" s="558">
        <f>IF(F11&gt;E11,(F11-E11)*F7/10,(F11-E11)*E7/10)</f>
        <v>0</v>
      </c>
      <c r="G23" s="563"/>
      <c r="H23" s="558">
        <f>IF(H11&gt;G11,(H11-G11)*H7/10,(H11-G11)*G7/10)</f>
        <v>0</v>
      </c>
      <c r="I23" s="563"/>
      <c r="J23" s="558">
        <f>IF(J11&gt;I11,(J11-I11)*J7/10,(J11-I11)*I7/10)</f>
        <v>0</v>
      </c>
      <c r="K23" s="563"/>
      <c r="L23" s="558">
        <f>IF(L11&gt;K11,(L11-K11)*L7/10,(L11-K11)*K7/10)</f>
        <v>0</v>
      </c>
      <c r="M23" s="563"/>
      <c r="N23" s="558">
        <f>IF(N11&gt;M11,(N11-M11)*N7/10,(N11-M11)*M7/10)</f>
        <v>0</v>
      </c>
    </row>
    <row r="24" spans="1:14" ht="60">
      <c r="A24" s="432">
        <v>17</v>
      </c>
      <c r="B24" s="555" t="s">
        <v>778</v>
      </c>
      <c r="C24" s="311" t="s">
        <v>1113</v>
      </c>
      <c r="D24" s="548" t="s">
        <v>231</v>
      </c>
      <c r="E24" s="562"/>
      <c r="F24" s="558">
        <f>IF(F12&gt;E12,(F12-E12)*F7/10,(F12-E12)*E7/10)</f>
        <v>0</v>
      </c>
      <c r="G24" s="563"/>
      <c r="H24" s="558">
        <f>IF(H12&gt;G12,(H12-G12)*H7/10,(H12-G12)*G7/10)</f>
        <v>0</v>
      </c>
      <c r="I24" s="563"/>
      <c r="J24" s="558">
        <f>IF(J12&gt;I12,(J12-I12)*J7/10,(J12-I12)*I7/10)</f>
        <v>0</v>
      </c>
      <c r="K24" s="563"/>
      <c r="L24" s="558">
        <f>IF(L12&gt;K12,(L12-K12)*L7/10,(L12-K12)*K7/10)</f>
        <v>0</v>
      </c>
      <c r="M24" s="563"/>
      <c r="N24" s="558">
        <f>IF(N12&gt;M12,(N12-M12)*N7/10,(N12-M12)*M7/10)</f>
        <v>0</v>
      </c>
    </row>
    <row r="25" spans="1:14" ht="45">
      <c r="A25" s="432">
        <v>18</v>
      </c>
      <c r="B25" s="555" t="s">
        <v>406</v>
      </c>
      <c r="C25" s="561" t="s">
        <v>823</v>
      </c>
      <c r="D25" s="548" t="s">
        <v>231</v>
      </c>
      <c r="E25" s="562"/>
      <c r="F25" s="558">
        <f>F16+F17+F22+F23+F24</f>
        <v>0</v>
      </c>
      <c r="G25" s="563"/>
      <c r="H25" s="558">
        <f>H16+H17+H22+H23+H24</f>
        <v>0</v>
      </c>
      <c r="I25" s="563"/>
      <c r="J25" s="558">
        <f>J16+J17+J22+J23+J24</f>
        <v>0</v>
      </c>
      <c r="K25" s="563"/>
      <c r="L25" s="558">
        <f>L16+L17+L22+L23+L24</f>
        <v>0</v>
      </c>
      <c r="M25" s="563"/>
      <c r="N25" s="558">
        <f>N16+N17+N22+N23+N24</f>
        <v>0</v>
      </c>
    </row>
    <row r="26" spans="1:14" ht="45">
      <c r="A26" s="432">
        <v>19</v>
      </c>
      <c r="B26" s="555" t="s">
        <v>419</v>
      </c>
      <c r="C26" s="311" t="s">
        <v>824</v>
      </c>
      <c r="D26" s="548" t="s">
        <v>231</v>
      </c>
      <c r="E26" s="564">
        <f>IF(AND(E3="yes",F3="Yes"),F25+H25+J25+L25+N25,0)</f>
        <v>0</v>
      </c>
      <c r="F26" s="565"/>
      <c r="G26" s="565"/>
      <c r="H26" s="565"/>
      <c r="I26" s="565"/>
      <c r="J26" s="565"/>
      <c r="K26" s="565"/>
      <c r="L26" s="565"/>
      <c r="M26" s="565"/>
      <c r="N26" s="566"/>
    </row>
    <row r="27" spans="1:14" ht="15">
      <c r="A27" s="73" t="s">
        <v>407</v>
      </c>
      <c r="B27" s="34"/>
      <c r="C27" s="34"/>
      <c r="D27" s="34"/>
      <c r="E27" s="34"/>
      <c r="F27" s="34"/>
      <c r="G27" s="34"/>
      <c r="H27" s="34"/>
      <c r="I27" s="34"/>
      <c r="J27" s="34"/>
      <c r="K27" s="34"/>
      <c r="L27" s="34"/>
      <c r="M27" s="34"/>
      <c r="N27" s="34"/>
    </row>
    <row r="28" spans="1:14" ht="15">
      <c r="A28" s="567">
        <v>1</v>
      </c>
      <c r="B28" s="1078" t="s">
        <v>408</v>
      </c>
      <c r="C28" s="1078"/>
      <c r="D28" s="1078"/>
      <c r="E28" s="568"/>
      <c r="F28" s="568"/>
      <c r="G28" s="568"/>
      <c r="H28" s="568"/>
      <c r="I28" s="568"/>
      <c r="J28" s="568"/>
      <c r="K28" s="568"/>
      <c r="L28" s="568"/>
      <c r="M28" s="568"/>
      <c r="N28" s="568"/>
    </row>
    <row r="29" spans="1:14" ht="15">
      <c r="A29" s="567">
        <v>2</v>
      </c>
      <c r="B29" s="1073" t="s">
        <v>409</v>
      </c>
      <c r="C29" s="1073"/>
      <c r="D29" s="1073"/>
      <c r="E29" s="568"/>
      <c r="F29" s="568"/>
      <c r="G29" s="568"/>
      <c r="H29" s="568"/>
      <c r="I29" s="568"/>
      <c r="J29" s="568"/>
      <c r="K29" s="568"/>
      <c r="L29" s="568"/>
      <c r="M29" s="568"/>
      <c r="N29" s="568"/>
    </row>
    <row r="30" spans="1:14" ht="15">
      <c r="A30" s="567">
        <v>3</v>
      </c>
      <c r="B30" s="1073" t="s">
        <v>410</v>
      </c>
      <c r="C30" s="1073"/>
      <c r="D30" s="1073"/>
      <c r="E30" s="568"/>
      <c r="F30" s="568"/>
      <c r="G30" s="568"/>
      <c r="H30" s="568"/>
      <c r="I30" s="568"/>
      <c r="J30" s="568"/>
      <c r="K30" s="568"/>
      <c r="L30" s="568"/>
      <c r="M30" s="568"/>
      <c r="N30" s="568"/>
    </row>
    <row r="31" spans="1:14" ht="15">
      <c r="A31" s="567">
        <v>4</v>
      </c>
      <c r="B31" s="1079" t="s">
        <v>1356</v>
      </c>
      <c r="C31" s="1079"/>
      <c r="D31" s="1079"/>
      <c r="E31" s="568"/>
      <c r="F31" s="568"/>
      <c r="G31" s="568"/>
      <c r="H31" s="568"/>
      <c r="I31" s="568"/>
      <c r="J31" s="568"/>
      <c r="K31" s="568"/>
      <c r="L31" s="568"/>
      <c r="M31" s="568"/>
      <c r="N31" s="568"/>
    </row>
    <row r="32" spans="1:14" ht="15">
      <c r="A32" s="567">
        <v>5</v>
      </c>
      <c r="B32" s="1073" t="s">
        <v>685</v>
      </c>
      <c r="C32" s="1073"/>
      <c r="D32" s="1073"/>
      <c r="E32" s="568"/>
      <c r="F32" s="568"/>
      <c r="G32" s="568"/>
      <c r="H32" s="568"/>
      <c r="I32" s="568"/>
      <c r="J32" s="568"/>
      <c r="K32" s="568"/>
      <c r="L32" s="568"/>
      <c r="M32" s="568"/>
      <c r="N32" s="568"/>
    </row>
    <row r="33" spans="1:14" ht="29.25" customHeight="1">
      <c r="A33" s="569" t="s">
        <v>1067</v>
      </c>
      <c r="B33" s="1077" t="s">
        <v>1085</v>
      </c>
      <c r="C33" s="1077"/>
      <c r="D33" s="1077"/>
      <c r="E33" s="570"/>
      <c r="F33" s="570"/>
      <c r="G33" s="570"/>
      <c r="H33" s="570"/>
      <c r="I33" s="570"/>
      <c r="J33" s="570"/>
      <c r="K33" s="570"/>
      <c r="L33" s="570"/>
      <c r="M33" s="570"/>
      <c r="N33" s="570"/>
    </row>
  </sheetData>
  <sheetProtection password="E2BB" sheet="1"/>
  <mergeCells count="20">
    <mergeCell ref="G3:N3"/>
    <mergeCell ref="A13:N13"/>
    <mergeCell ref="A19:N19"/>
    <mergeCell ref="A1:N1"/>
    <mergeCell ref="B29:D29"/>
    <mergeCell ref="B30:D30"/>
    <mergeCell ref="A2:B2"/>
    <mergeCell ref="A3:B3"/>
    <mergeCell ref="C3:D3"/>
    <mergeCell ref="C2:N2"/>
    <mergeCell ref="B32:D32"/>
    <mergeCell ref="G4:H4"/>
    <mergeCell ref="I4:J4"/>
    <mergeCell ref="K4:L4"/>
    <mergeCell ref="M4:N4"/>
    <mergeCell ref="B33:D33"/>
    <mergeCell ref="B28:D28"/>
    <mergeCell ref="B31:D31"/>
    <mergeCell ref="A4:B4"/>
    <mergeCell ref="E4:F4"/>
  </mergeCells>
  <printOptions/>
  <pageMargins left="0.31496062992125984" right="0.11811023622047245" top="0" bottom="0" header="0.31496062992125984" footer="0.31496062992125984"/>
  <pageSetup orientation="landscape" paperSize="9" scale="65" r:id="rId1"/>
  <headerFooter>
    <oddFooter>&amp;C&amp;P&amp;RNote: Not to be quoted and not to be published without prior permission</oddFooter>
  </headerFooter>
</worksheet>
</file>

<file path=xl/worksheets/sheet11.xml><?xml version="1.0" encoding="utf-8"?>
<worksheet xmlns="http://schemas.openxmlformats.org/spreadsheetml/2006/main" xmlns:r="http://schemas.openxmlformats.org/officeDocument/2006/relationships">
  <dimension ref="A1:F14"/>
  <sheetViews>
    <sheetView zoomScalePageLayoutView="0" workbookViewId="0" topLeftCell="A1">
      <selection activeCell="E9" sqref="E9"/>
    </sheetView>
  </sheetViews>
  <sheetFormatPr defaultColWidth="0" defaultRowHeight="15" zeroHeight="1"/>
  <cols>
    <col min="1" max="1" width="5.8515625" style="28" customWidth="1"/>
    <col min="2" max="2" width="32.00390625" style="4" customWidth="1"/>
    <col min="3" max="3" width="28.421875" style="4" customWidth="1"/>
    <col min="4" max="4" width="17.140625" style="4" customWidth="1"/>
    <col min="5" max="5" width="13.140625" style="28" bestFit="1" customWidth="1"/>
    <col min="6" max="6" width="16.140625" style="24" bestFit="1" customWidth="1"/>
    <col min="7" max="16384" width="0" style="4" hidden="1" customWidth="1"/>
  </cols>
  <sheetData>
    <row r="1" spans="1:6" ht="23.25">
      <c r="A1" s="1065" t="s">
        <v>441</v>
      </c>
      <c r="B1" s="1065"/>
      <c r="C1" s="1065"/>
      <c r="D1" s="1065"/>
      <c r="E1" s="1065"/>
      <c r="F1" s="1065"/>
    </row>
    <row r="2" spans="1:6" ht="18.75">
      <c r="A2" s="1088" t="str">
        <f>'NF-2 Fuel Quality in CPP'!A2:B2</f>
        <v>Name of the Unit</v>
      </c>
      <c r="B2" s="1088"/>
      <c r="C2" s="1088" t="str">
        <f>'NF-2 Fuel Quality in CPP'!C2:F2</f>
        <v>  </v>
      </c>
      <c r="D2" s="1088"/>
      <c r="E2" s="1088"/>
      <c r="F2" s="1088"/>
    </row>
    <row r="3" spans="1:6" ht="15">
      <c r="A3" s="1071" t="s">
        <v>826</v>
      </c>
      <c r="B3" s="1071"/>
      <c r="C3" s="6" t="s">
        <v>689</v>
      </c>
      <c r="D3" s="6"/>
      <c r="E3" s="6" t="str">
        <f>'Form-Sb'!F551</f>
        <v>Yes</v>
      </c>
      <c r="F3" s="6" t="str">
        <f>'Form-Sb'!G551</f>
        <v>Yes</v>
      </c>
    </row>
    <row r="4" spans="1:6" ht="60">
      <c r="A4" s="16" t="s">
        <v>368</v>
      </c>
      <c r="B4" s="23" t="s">
        <v>388</v>
      </c>
      <c r="C4" s="23" t="s">
        <v>389</v>
      </c>
      <c r="D4" s="23" t="s">
        <v>390</v>
      </c>
      <c r="E4" s="241" t="str">
        <f>'Base line Parameters'!E5</f>
        <v>Baseline Year (Average of year1 to Year 3)</v>
      </c>
      <c r="F4" s="241" t="str">
        <f>'Base line Parameters'!F5</f>
        <v>Current/Assessment /Target Year    (20__-20__)</v>
      </c>
    </row>
    <row r="5" spans="1:6" ht="15">
      <c r="A5" s="384">
        <v>1</v>
      </c>
      <c r="B5" s="383" t="s">
        <v>430</v>
      </c>
      <c r="C5" s="383" t="s">
        <v>1463</v>
      </c>
      <c r="D5" s="383" t="s">
        <v>266</v>
      </c>
      <c r="E5" s="218" t="e">
        <f>'Form-Sb'!F9/10^5</f>
        <v>#DIV/0!</v>
      </c>
      <c r="F5" s="218">
        <f>'Form-Sb'!G9/10^5</f>
        <v>0</v>
      </c>
    </row>
    <row r="6" spans="1:6" ht="15">
      <c r="A6" s="384">
        <v>2</v>
      </c>
      <c r="B6" s="383" t="s">
        <v>431</v>
      </c>
      <c r="C6" s="678" t="s">
        <v>1464</v>
      </c>
      <c r="D6" s="383" t="s">
        <v>269</v>
      </c>
      <c r="E6" s="218">
        <f>'Form-Sb'!F509</f>
        <v>0</v>
      </c>
      <c r="F6" s="218">
        <f>'Form-Sb'!G509</f>
        <v>0</v>
      </c>
    </row>
    <row r="7" spans="1:6" ht="15">
      <c r="A7" s="384">
        <v>3</v>
      </c>
      <c r="B7" s="383" t="s">
        <v>432</v>
      </c>
      <c r="C7" s="678" t="s">
        <v>1465</v>
      </c>
      <c r="D7" s="383" t="s">
        <v>433</v>
      </c>
      <c r="E7" s="222">
        <f>'Form-Sb'!F510</f>
        <v>0</v>
      </c>
      <c r="F7" s="218">
        <f>'Form-Sb'!G510</f>
        <v>0</v>
      </c>
    </row>
    <row r="8" spans="1:6" ht="15">
      <c r="A8" s="384">
        <v>4</v>
      </c>
      <c r="B8" s="383" t="s">
        <v>393</v>
      </c>
      <c r="C8" s="678" t="s">
        <v>1466</v>
      </c>
      <c r="D8" s="383" t="s">
        <v>238</v>
      </c>
      <c r="E8" s="218">
        <f>'Base line Parameters'!E58</f>
        <v>0</v>
      </c>
      <c r="F8" s="218">
        <f>'Base line Parameters'!F58</f>
        <v>0</v>
      </c>
    </row>
    <row r="9" spans="1:6" ht="45">
      <c r="A9" s="384">
        <v>5</v>
      </c>
      <c r="B9" s="383" t="s">
        <v>434</v>
      </c>
      <c r="C9" s="19" t="s">
        <v>1467</v>
      </c>
      <c r="D9" s="383" t="s">
        <v>3</v>
      </c>
      <c r="E9" s="219" t="e">
        <f>IF('Form-Sb'!F387=0,0,'Form-Sb'!F284*100/('Form-Sb'!F500))</f>
        <v>#DIV/0!</v>
      </c>
      <c r="F9" s="219">
        <f>IF('Form-Sb'!G387=0,0,'Form-Sb'!G284*100/('Form-Sb'!G500))</f>
        <v>0</v>
      </c>
    </row>
    <row r="10" spans="1:6" ht="15">
      <c r="A10" s="384">
        <v>6</v>
      </c>
      <c r="B10" s="383" t="s">
        <v>435</v>
      </c>
      <c r="C10" s="223" t="s">
        <v>1468</v>
      </c>
      <c r="D10" s="383" t="s">
        <v>711</v>
      </c>
      <c r="E10" s="218"/>
      <c r="F10" s="281" t="e">
        <f>E6+0.0954*(F9-E9)</f>
        <v>#DIV/0!</v>
      </c>
    </row>
    <row r="11" spans="1:6" ht="15">
      <c r="A11" s="384">
        <v>7</v>
      </c>
      <c r="B11" s="383" t="s">
        <v>436</v>
      </c>
      <c r="C11" s="223" t="s">
        <v>1469</v>
      </c>
      <c r="D11" s="224" t="s">
        <v>714</v>
      </c>
      <c r="E11" s="218"/>
      <c r="F11" s="281" t="e">
        <f>E7+0.022*(F9-E9)</f>
        <v>#DIV/0!</v>
      </c>
    </row>
    <row r="12" spans="1:6" ht="15">
      <c r="A12" s="384">
        <v>8</v>
      </c>
      <c r="B12" s="19" t="s">
        <v>437</v>
      </c>
      <c r="C12" s="271" t="s">
        <v>713</v>
      </c>
      <c r="D12" s="383" t="s">
        <v>231</v>
      </c>
      <c r="E12" s="218"/>
      <c r="F12" s="281" t="e">
        <f>(F10-E6)*F5*100</f>
        <v>#DIV/0!</v>
      </c>
    </row>
    <row r="13" spans="1:6" ht="15">
      <c r="A13" s="384">
        <v>9</v>
      </c>
      <c r="B13" s="19" t="s">
        <v>438</v>
      </c>
      <c r="C13" s="271" t="s">
        <v>712</v>
      </c>
      <c r="D13" s="383" t="s">
        <v>422</v>
      </c>
      <c r="E13" s="218"/>
      <c r="F13" s="274" t="e">
        <f>(F11-E7)*F5/10</f>
        <v>#DIV/0!</v>
      </c>
    </row>
    <row r="14" spans="1:6" ht="49.5" customHeight="1">
      <c r="A14" s="14">
        <v>10</v>
      </c>
      <c r="B14" s="23" t="s">
        <v>439</v>
      </c>
      <c r="C14" s="15" t="s">
        <v>440</v>
      </c>
      <c r="D14" s="15" t="s">
        <v>231</v>
      </c>
      <c r="E14" s="220"/>
      <c r="F14" s="221" t="e">
        <f>IF(AND(E3="yes",F3="yes"),F12+F13*F8,0)</f>
        <v>#DIV/0!</v>
      </c>
    </row>
    <row r="15" ht="15"/>
    <row r="16" ht="15"/>
    <row r="17" ht="15" hidden="1"/>
    <row r="18" ht="15" hidden="1"/>
  </sheetData>
  <sheetProtection password="E2BB" sheet="1"/>
  <mergeCells count="4">
    <mergeCell ref="A1:F1"/>
    <mergeCell ref="A2:B2"/>
    <mergeCell ref="C2:F2"/>
    <mergeCell ref="A3:B3"/>
  </mergeCells>
  <printOptions horizontalCentered="1"/>
  <pageMargins left="0.11811023622047245" right="0" top="0.7480314960629921" bottom="0.5511811023622047" header="0.31496062992125984" footer="0.31496062992125984"/>
  <pageSetup horizontalDpi="600" verticalDpi="600" orientation="landscape" paperSize="9" scale="96" r:id="rId1"/>
  <headerFooter>
    <oddFooter>&amp;C&amp;P&amp;RNote: Not to be quoted and not to be published without prior permission</oddFooter>
  </headerFooter>
</worksheet>
</file>

<file path=xl/worksheets/sheet12.xml><?xml version="1.0" encoding="utf-8"?>
<worksheet xmlns="http://schemas.openxmlformats.org/spreadsheetml/2006/main" xmlns:r="http://schemas.openxmlformats.org/officeDocument/2006/relationships">
  <dimension ref="A1:F13"/>
  <sheetViews>
    <sheetView zoomScalePageLayoutView="0" workbookViewId="0" topLeftCell="A1">
      <selection activeCell="E3" sqref="E3"/>
    </sheetView>
  </sheetViews>
  <sheetFormatPr defaultColWidth="0" defaultRowHeight="15" zeroHeight="1"/>
  <cols>
    <col min="1" max="1" width="9.140625" style="230" customWidth="1"/>
    <col min="2" max="2" width="26.7109375" style="230" customWidth="1"/>
    <col min="3" max="3" width="32.00390625" style="230" customWidth="1"/>
    <col min="4" max="4" width="12.140625" style="671" customWidth="1"/>
    <col min="5" max="5" width="11.57421875" style="230" customWidth="1"/>
    <col min="6" max="6" width="13.7109375" style="230" customWidth="1"/>
    <col min="7" max="16384" width="0" style="13" hidden="1" customWidth="1"/>
  </cols>
  <sheetData>
    <row r="1" spans="1:6" ht="23.25">
      <c r="A1" s="1089" t="s">
        <v>442</v>
      </c>
      <c r="B1" s="1090"/>
      <c r="C1" s="1090"/>
      <c r="D1" s="1090"/>
      <c r="E1" s="1090"/>
      <c r="F1" s="1091"/>
    </row>
    <row r="2" spans="1:6" s="225" customFormat="1" ht="18.75">
      <c r="A2" s="1092" t="str">
        <f>'NF-3 Petcoke'!A2:B2</f>
        <v>Name of the Unit</v>
      </c>
      <c r="B2" s="1093"/>
      <c r="C2" s="1094" t="str">
        <f>'NF-3 Petcoke'!C2:F2</f>
        <v>  </v>
      </c>
      <c r="D2" s="1094"/>
      <c r="E2" s="1094"/>
      <c r="F2" s="1095"/>
    </row>
    <row r="3" spans="1:6" s="4" customFormat="1" ht="15">
      <c r="A3" s="1071" t="s">
        <v>826</v>
      </c>
      <c r="B3" s="1071"/>
      <c r="C3" s="6" t="s">
        <v>689</v>
      </c>
      <c r="D3" s="213"/>
      <c r="E3" s="213" t="str">
        <f>'Form-Sb'!F552</f>
        <v>Yes</v>
      </c>
      <c r="F3" s="214" t="str">
        <f>'Form-Sb'!G552</f>
        <v>Yes</v>
      </c>
    </row>
    <row r="4" spans="1:6" ht="75">
      <c r="A4" s="16" t="s">
        <v>368</v>
      </c>
      <c r="B4" s="26" t="s">
        <v>443</v>
      </c>
      <c r="C4" s="26" t="s">
        <v>444</v>
      </c>
      <c r="D4" s="16" t="s">
        <v>2</v>
      </c>
      <c r="E4" s="573" t="str">
        <f>'Base line Parameters'!E5</f>
        <v>Baseline Year (Average of year1 to Year 3)</v>
      </c>
      <c r="F4" s="573" t="str">
        <f>'Base line Parameters'!F5</f>
        <v>Current/Assessment /Target Year    (20__-20__)</v>
      </c>
    </row>
    <row r="5" spans="1:6" ht="45">
      <c r="A5" s="2">
        <v>1</v>
      </c>
      <c r="B5" s="273" t="s">
        <v>1367</v>
      </c>
      <c r="C5" s="3" t="s">
        <v>1358</v>
      </c>
      <c r="D5" s="2" t="s">
        <v>3</v>
      </c>
      <c r="E5" s="226">
        <f>'Form-Sb'!F227</f>
        <v>0</v>
      </c>
      <c r="F5" s="226">
        <f>'Form-Sb'!G227</f>
        <v>0</v>
      </c>
    </row>
    <row r="6" spans="1:6" ht="15">
      <c r="A6" s="2">
        <v>2</v>
      </c>
      <c r="B6" s="3" t="s">
        <v>445</v>
      </c>
      <c r="C6" s="3" t="s">
        <v>1359</v>
      </c>
      <c r="D6" s="2" t="s">
        <v>238</v>
      </c>
      <c r="E6" s="226">
        <f>'Form-Sb'!F505</f>
        <v>0</v>
      </c>
      <c r="F6" s="226">
        <f>'Form-Sb'!G505</f>
        <v>0</v>
      </c>
    </row>
    <row r="7" spans="1:6" ht="15">
      <c r="A7" s="2">
        <v>3</v>
      </c>
      <c r="B7" s="3" t="s">
        <v>447</v>
      </c>
      <c r="C7" s="3" t="s">
        <v>1360</v>
      </c>
      <c r="D7" s="2" t="s">
        <v>1071</v>
      </c>
      <c r="E7" s="226"/>
      <c r="F7" s="226">
        <f>'Form-Sb'!G218</f>
        <v>0</v>
      </c>
    </row>
    <row r="8" spans="1:6" ht="30">
      <c r="A8" s="2">
        <v>4</v>
      </c>
      <c r="B8" s="3" t="s">
        <v>1365</v>
      </c>
      <c r="C8" s="3" t="s">
        <v>1361</v>
      </c>
      <c r="D8" s="2" t="s">
        <v>3</v>
      </c>
      <c r="E8" s="227">
        <f>0.0016*E5^2-0.3815*E5+21.959</f>
        <v>21.959</v>
      </c>
      <c r="F8" s="227">
        <f>0.0016*F5^2-0.3815*F5+21.959</f>
        <v>21.959</v>
      </c>
    </row>
    <row r="9" spans="1:6" ht="45">
      <c r="A9" s="2">
        <v>5</v>
      </c>
      <c r="B9" s="3" t="s">
        <v>1364</v>
      </c>
      <c r="C9" s="3" t="s">
        <v>1366</v>
      </c>
      <c r="D9" s="2" t="s">
        <v>3</v>
      </c>
      <c r="E9" s="226"/>
      <c r="F9" s="228">
        <f>F8-E8</f>
        <v>0</v>
      </c>
    </row>
    <row r="10" spans="1:6" ht="30">
      <c r="A10" s="2">
        <v>6</v>
      </c>
      <c r="B10" s="3" t="s">
        <v>1368</v>
      </c>
      <c r="C10" s="3" t="s">
        <v>1357</v>
      </c>
      <c r="D10" s="2" t="s">
        <v>3</v>
      </c>
      <c r="E10" s="226"/>
      <c r="F10" s="272">
        <f>'Form-Sb'!G228</f>
        <v>0</v>
      </c>
    </row>
    <row r="11" spans="1:6" ht="45">
      <c r="A11" s="2">
        <v>7</v>
      </c>
      <c r="B11" s="3" t="s">
        <v>1369</v>
      </c>
      <c r="C11" s="3" t="s">
        <v>1362</v>
      </c>
      <c r="D11" s="2" t="s">
        <v>3</v>
      </c>
      <c r="E11" s="226"/>
      <c r="F11" s="228">
        <f>F9*F10/100</f>
        <v>0</v>
      </c>
    </row>
    <row r="12" spans="1:6" ht="15">
      <c r="A12" s="2">
        <v>8</v>
      </c>
      <c r="B12" s="3" t="s">
        <v>446</v>
      </c>
      <c r="C12" s="3" t="s">
        <v>1363</v>
      </c>
      <c r="D12" s="2" t="s">
        <v>238</v>
      </c>
      <c r="E12" s="226"/>
      <c r="F12" s="226">
        <f>F6*(1-F11%)</f>
        <v>0</v>
      </c>
    </row>
    <row r="13" spans="1:6" ht="15">
      <c r="A13" s="16">
        <v>9</v>
      </c>
      <c r="B13" s="26" t="s">
        <v>448</v>
      </c>
      <c r="C13" s="26" t="s">
        <v>1086</v>
      </c>
      <c r="D13" s="16" t="s">
        <v>231</v>
      </c>
      <c r="E13" s="229"/>
      <c r="F13" s="229">
        <f>IF(AND(E3="yes",F3="yes"),IF(F9&gt;0,F7*(F6-F12)/10,0),0)</f>
        <v>0</v>
      </c>
    </row>
    <row r="14" ht="15"/>
    <row r="15" ht="15"/>
    <row r="16" ht="15"/>
    <row r="17" ht="15"/>
  </sheetData>
  <sheetProtection password="E2BB" sheet="1"/>
  <mergeCells count="4">
    <mergeCell ref="A1:F1"/>
    <mergeCell ref="A2:B2"/>
    <mergeCell ref="C2:F2"/>
    <mergeCell ref="A3:B3"/>
  </mergeCells>
  <printOptions horizontalCentered="1"/>
  <pageMargins left="0.11811023622047245" right="0" top="0.7480314960629921" bottom="0.7480314960629921" header="0.31496062992125984" footer="0.31496062992125984"/>
  <pageSetup horizontalDpi="600" verticalDpi="600" orientation="landscape" scale="98" r:id="rId1"/>
  <headerFooter>
    <oddFooter>&amp;C&amp;P&amp;RNote: Not to be quoted and not to be published without prior permission</oddFooter>
  </headerFooter>
</worksheet>
</file>

<file path=xl/worksheets/sheet13.xml><?xml version="1.0" encoding="utf-8"?>
<worksheet xmlns="http://schemas.openxmlformats.org/spreadsheetml/2006/main" xmlns:r="http://schemas.openxmlformats.org/officeDocument/2006/relationships">
  <dimension ref="A1:F47"/>
  <sheetViews>
    <sheetView zoomScalePageLayoutView="0" workbookViewId="0" topLeftCell="A34">
      <selection activeCell="F12" sqref="F12"/>
    </sheetView>
  </sheetViews>
  <sheetFormatPr defaultColWidth="0" defaultRowHeight="15" zeroHeight="1"/>
  <cols>
    <col min="1" max="1" width="5.8515625" style="13" customWidth="1"/>
    <col min="2" max="2" width="30.140625" style="13" customWidth="1"/>
    <col min="3" max="3" width="28.421875" style="13" customWidth="1"/>
    <col min="4" max="4" width="14.140625" style="13" customWidth="1"/>
    <col min="5" max="5" width="16.140625" style="13" customWidth="1"/>
    <col min="6" max="6" width="17.28125" style="13" customWidth="1"/>
    <col min="7" max="16384" width="0" style="13" hidden="1" customWidth="1"/>
  </cols>
  <sheetData>
    <row r="1" spans="1:6" ht="23.25">
      <c r="A1" s="1096" t="s">
        <v>450</v>
      </c>
      <c r="B1" s="1096"/>
      <c r="C1" s="1096"/>
      <c r="D1" s="1096"/>
      <c r="E1" s="1096"/>
      <c r="F1" s="1096"/>
    </row>
    <row r="2" spans="1:6" s="225" customFormat="1" ht="18.75">
      <c r="A2" s="1097" t="str">
        <f>'NF-4 PLF'!A2:B2</f>
        <v>Name of the Unit</v>
      </c>
      <c r="B2" s="1098"/>
      <c r="C2" s="1099" t="str">
        <f>'NF-4 PLF'!C2:F2</f>
        <v>  </v>
      </c>
      <c r="D2" s="1100"/>
      <c r="E2" s="1100"/>
      <c r="F2" s="1101"/>
    </row>
    <row r="3" spans="1:6" s="225" customFormat="1" ht="18.75">
      <c r="A3" s="1102" t="s">
        <v>826</v>
      </c>
      <c r="B3" s="1102"/>
      <c r="C3" s="384" t="s">
        <v>689</v>
      </c>
      <c r="D3" s="571"/>
      <c r="E3" s="571" t="str">
        <f>'Form-Sb'!F553</f>
        <v>Yes</v>
      </c>
      <c r="F3" s="656" t="str">
        <f>'Form-Sb'!G553</f>
        <v>Yes</v>
      </c>
    </row>
    <row r="4" spans="1:6" s="671" customFormat="1" ht="28.5" customHeight="1">
      <c r="A4" s="16" t="s">
        <v>368</v>
      </c>
      <c r="B4" s="16" t="s">
        <v>388</v>
      </c>
      <c r="C4" s="16" t="s">
        <v>389</v>
      </c>
      <c r="D4" s="16" t="s">
        <v>390</v>
      </c>
      <c r="E4" s="241" t="str">
        <f>'Base line Parameters'!E5</f>
        <v>Baseline Year (Average of year1 to Year 3)</v>
      </c>
      <c r="F4" s="241" t="str">
        <f>'Base line Parameters'!F5</f>
        <v>Current/Assessment /Target Year    (20__-20__)</v>
      </c>
    </row>
    <row r="5" spans="1:6" s="233" customFormat="1" ht="15">
      <c r="A5" s="231">
        <v>1</v>
      </c>
      <c r="B5" s="231" t="s">
        <v>478</v>
      </c>
      <c r="C5" s="231" t="s">
        <v>110</v>
      </c>
      <c r="D5" s="30" t="s">
        <v>99</v>
      </c>
      <c r="E5" s="232" t="e">
        <f>E6+E7+E8+E9+E10</f>
        <v>#DIV/0!</v>
      </c>
      <c r="F5" s="232">
        <f>F6+F7+F8+F9+F10</f>
        <v>0</v>
      </c>
    </row>
    <row r="6" spans="1:6" ht="15">
      <c r="A6" s="17" t="s">
        <v>483</v>
      </c>
      <c r="B6" s="234" t="s">
        <v>465</v>
      </c>
      <c r="C6" s="17" t="s">
        <v>1445</v>
      </c>
      <c r="D6" s="17" t="s">
        <v>99</v>
      </c>
      <c r="E6" s="18" t="e">
        <f>'Form-Sb'!F123</f>
        <v>#DIV/0!</v>
      </c>
      <c r="F6" s="18">
        <f>'Form-Sb'!G123</f>
        <v>0</v>
      </c>
    </row>
    <row r="7" spans="1:6" ht="15">
      <c r="A7" s="235" t="s">
        <v>484</v>
      </c>
      <c r="B7" s="234" t="s">
        <v>479</v>
      </c>
      <c r="C7" s="678" t="s">
        <v>1446</v>
      </c>
      <c r="D7" s="17" t="s">
        <v>99</v>
      </c>
      <c r="E7" s="18" t="e">
        <f>'Form-Sb'!F130</f>
        <v>#DIV/0!</v>
      </c>
      <c r="F7" s="18">
        <f>'Form-Sb'!G130</f>
        <v>0</v>
      </c>
    </row>
    <row r="8" spans="1:6" ht="30">
      <c r="A8" s="17" t="s">
        <v>485</v>
      </c>
      <c r="B8" s="234" t="s">
        <v>467</v>
      </c>
      <c r="C8" s="678" t="s">
        <v>1447</v>
      </c>
      <c r="D8" s="17" t="s">
        <v>99</v>
      </c>
      <c r="E8" s="18" t="e">
        <f>'Form-Sb'!F218</f>
        <v>#DIV/0!</v>
      </c>
      <c r="F8" s="18">
        <f>'Form-Sb'!G218</f>
        <v>0</v>
      </c>
    </row>
    <row r="9" spans="1:6" ht="30">
      <c r="A9" s="17" t="s">
        <v>486</v>
      </c>
      <c r="B9" s="234" t="s">
        <v>468</v>
      </c>
      <c r="C9" s="678" t="s">
        <v>1448</v>
      </c>
      <c r="D9" s="17" t="s">
        <v>99</v>
      </c>
      <c r="E9" s="18">
        <f>'Form-Sb'!F232</f>
        <v>0</v>
      </c>
      <c r="F9" s="18">
        <f>'Form-Sb'!G232</f>
        <v>0</v>
      </c>
    </row>
    <row r="10" spans="1:6" ht="15">
      <c r="A10" s="17" t="s">
        <v>487</v>
      </c>
      <c r="B10" s="234" t="s">
        <v>469</v>
      </c>
      <c r="C10" s="678" t="s">
        <v>1449</v>
      </c>
      <c r="D10" s="17" t="s">
        <v>99</v>
      </c>
      <c r="E10" s="18">
        <f>'Form-Sb'!F240</f>
        <v>0</v>
      </c>
      <c r="F10" s="18">
        <f>'Form-Sb'!G240</f>
        <v>0</v>
      </c>
    </row>
    <row r="11" spans="1:6" ht="15">
      <c r="A11" s="704" t="s">
        <v>1493</v>
      </c>
      <c r="B11" s="234" t="s">
        <v>1494</v>
      </c>
      <c r="C11" s="704"/>
      <c r="D11" s="704" t="s">
        <v>99</v>
      </c>
      <c r="E11" s="18">
        <f>'Form-Sb'!F250</f>
        <v>0</v>
      </c>
      <c r="F11" s="18">
        <f>'Form-Sb'!G250</f>
        <v>0</v>
      </c>
    </row>
    <row r="12" spans="1:6" ht="15">
      <c r="A12" s="683"/>
      <c r="B12" s="684"/>
      <c r="C12" s="683"/>
      <c r="D12" s="683"/>
      <c r="E12" s="685"/>
      <c r="F12" s="685"/>
    </row>
    <row r="13" spans="1:6" ht="15">
      <c r="A13" s="17">
        <v>2</v>
      </c>
      <c r="B13" s="234" t="s">
        <v>466</v>
      </c>
      <c r="C13" s="678" t="s">
        <v>1450</v>
      </c>
      <c r="D13" s="17" t="s">
        <v>99</v>
      </c>
      <c r="E13" s="18" t="e">
        <f>'Form-Sb'!F257</f>
        <v>#DIV/0!</v>
      </c>
      <c r="F13" s="18">
        <f>'Form-Sb'!G257</f>
        <v>0</v>
      </c>
    </row>
    <row r="14" spans="1:6" s="687" customFormat="1" ht="15">
      <c r="A14" s="427"/>
      <c r="B14" s="686"/>
      <c r="C14" s="427"/>
      <c r="D14" s="427"/>
      <c r="E14" s="682"/>
      <c r="F14" s="682"/>
    </row>
    <row r="15" spans="1:6" s="233" customFormat="1" ht="30">
      <c r="A15" s="30">
        <v>3</v>
      </c>
      <c r="B15" s="236" t="s">
        <v>480</v>
      </c>
      <c r="C15" s="30" t="s">
        <v>1451</v>
      </c>
      <c r="D15" s="30" t="s">
        <v>99</v>
      </c>
      <c r="E15" s="238" t="e">
        <f>'Form-Sb'!F259</f>
        <v>#DIV/0!</v>
      </c>
      <c r="F15" s="238">
        <f>'Form-Sb'!G259</f>
        <v>0</v>
      </c>
    </row>
    <row r="16" spans="1:6" ht="15">
      <c r="A16" s="17" t="s">
        <v>488</v>
      </c>
      <c r="B16" s="234" t="s">
        <v>465</v>
      </c>
      <c r="C16" s="17" t="s">
        <v>1452</v>
      </c>
      <c r="D16" s="17" t="s">
        <v>99</v>
      </c>
      <c r="E16" s="18" t="e">
        <f>E6</f>
        <v>#DIV/0!</v>
      </c>
      <c r="F16" s="18">
        <f>F6</f>
        <v>0</v>
      </c>
    </row>
    <row r="17" spans="1:6" ht="15">
      <c r="A17" s="17" t="s">
        <v>489</v>
      </c>
      <c r="B17" s="234" t="s">
        <v>479</v>
      </c>
      <c r="C17" s="678" t="s">
        <v>1453</v>
      </c>
      <c r="D17" s="17" t="s">
        <v>99</v>
      </c>
      <c r="E17" s="18" t="e">
        <f>IF(AND(E7&gt;E8,E7&gt;E9,E7&gt;E10),E7-E13,E7)</f>
        <v>#DIV/0!</v>
      </c>
      <c r="F17" s="18">
        <f>IF(AND(F7&gt;F8,F7&gt;F9,F7&gt;F10),F7-F13,F7)</f>
        <v>0</v>
      </c>
    </row>
    <row r="18" spans="1:6" ht="30">
      <c r="A18" s="17" t="s">
        <v>490</v>
      </c>
      <c r="B18" s="234" t="s">
        <v>1122</v>
      </c>
      <c r="C18" s="19" t="s">
        <v>1486</v>
      </c>
      <c r="D18" s="17" t="s">
        <v>99</v>
      </c>
      <c r="E18" s="711" t="e">
        <f>IF(AND(E8&gt;E7,E8&gt;E9,E8&gt;E10),E8-E13,E8)</f>
        <v>#DIV/0!</v>
      </c>
      <c r="F18" s="711">
        <f>IF(AND(F8&gt;F7,F8&gt;F9,F8&gt;F10),F8-F13,F8)</f>
        <v>0</v>
      </c>
    </row>
    <row r="19" spans="1:6" ht="30">
      <c r="A19" s="17" t="s">
        <v>491</v>
      </c>
      <c r="B19" s="234" t="s">
        <v>482</v>
      </c>
      <c r="C19" s="19" t="s">
        <v>1454</v>
      </c>
      <c r="D19" s="17" t="s">
        <v>99</v>
      </c>
      <c r="E19" s="18" t="e">
        <f>IF(AND(E9&gt;E7,E9&gt;E8,E9&gt;E10),E9-E13,E9)</f>
        <v>#DIV/0!</v>
      </c>
      <c r="F19" s="18">
        <f>IF(AND(F9&gt;F7,F9&gt;F8,F9&gt;F10),F9-F13,F9)</f>
        <v>0</v>
      </c>
    </row>
    <row r="20" spans="1:6" ht="30">
      <c r="A20" s="17" t="s">
        <v>492</v>
      </c>
      <c r="B20" s="234" t="s">
        <v>481</v>
      </c>
      <c r="C20" s="19" t="s">
        <v>1455</v>
      </c>
      <c r="D20" s="17" t="s">
        <v>99</v>
      </c>
      <c r="E20" s="18" t="e">
        <f>IF(AND(E10&gt;E7,E10&gt;E8,E10&gt;E9),E10-E13,E10)</f>
        <v>#DIV/0!</v>
      </c>
      <c r="F20" s="18">
        <f>IF(AND(F10&gt;F7,F10&gt;F8,F10&gt;F9),F10-F13,F10)</f>
        <v>0</v>
      </c>
    </row>
    <row r="21" spans="1:6" ht="30">
      <c r="A21" s="704" t="s">
        <v>1495</v>
      </c>
      <c r="B21" s="234" t="s">
        <v>1496</v>
      </c>
      <c r="C21" s="19"/>
      <c r="D21" s="704" t="s">
        <v>99</v>
      </c>
      <c r="E21" s="18">
        <f>E11</f>
        <v>0</v>
      </c>
      <c r="F21" s="18">
        <f>F11</f>
        <v>0</v>
      </c>
    </row>
    <row r="22" spans="1:6" s="687" customFormat="1" ht="15">
      <c r="A22" s="427"/>
      <c r="B22" s="686"/>
      <c r="C22" s="688"/>
      <c r="D22" s="427"/>
      <c r="E22" s="682"/>
      <c r="F22" s="682"/>
    </row>
    <row r="23" spans="1:6" s="233" customFormat="1" ht="30">
      <c r="A23" s="30">
        <v>4</v>
      </c>
      <c r="B23" s="236" t="s">
        <v>686</v>
      </c>
      <c r="C23" s="237" t="s">
        <v>1462</v>
      </c>
      <c r="D23" s="30" t="s">
        <v>99</v>
      </c>
      <c r="E23" s="238" t="e">
        <f>E15-E20</f>
        <v>#DIV/0!</v>
      </c>
      <c r="F23" s="238">
        <f>F15-F20</f>
        <v>0</v>
      </c>
    </row>
    <row r="24" spans="1:6" ht="15">
      <c r="A24" s="235">
        <v>5</v>
      </c>
      <c r="B24" s="17" t="s">
        <v>451</v>
      </c>
      <c r="C24" s="19" t="s">
        <v>1456</v>
      </c>
      <c r="D24" s="17" t="s">
        <v>238</v>
      </c>
      <c r="E24" s="18">
        <f>'Base line Parameters'!E71</f>
        <v>3208</v>
      </c>
      <c r="F24" s="18">
        <f>'Base line Parameters'!F71</f>
        <v>3208</v>
      </c>
    </row>
    <row r="25" spans="1:6" ht="15">
      <c r="A25" s="17">
        <v>6</v>
      </c>
      <c r="B25" s="17" t="s">
        <v>452</v>
      </c>
      <c r="C25" s="678" t="s">
        <v>1457</v>
      </c>
      <c r="D25" s="17" t="s">
        <v>238</v>
      </c>
      <c r="E25" s="18">
        <f>'Form-Sb'!F504</f>
        <v>0</v>
      </c>
      <c r="F25" s="274">
        <f>IF(F38&lt;1,E25,'Form-Sb'!G504)</f>
        <v>0</v>
      </c>
    </row>
    <row r="26" spans="1:6" ht="15">
      <c r="A26" s="17">
        <v>7</v>
      </c>
      <c r="B26" s="17" t="s">
        <v>472</v>
      </c>
      <c r="C26" s="678" t="s">
        <v>1458</v>
      </c>
      <c r="D26" s="17" t="s">
        <v>238</v>
      </c>
      <c r="E26" s="18">
        <f>'Form-Sb'!F505</f>
        <v>0</v>
      </c>
      <c r="F26" s="274">
        <f>IF(F39=0,E26,'Form-Sb'!G505)</f>
        <v>0</v>
      </c>
    </row>
    <row r="27" spans="1:6" ht="15">
      <c r="A27" s="17">
        <v>8</v>
      </c>
      <c r="B27" s="17" t="s">
        <v>473</v>
      </c>
      <c r="C27" s="678" t="s">
        <v>1459</v>
      </c>
      <c r="D27" s="17" t="s">
        <v>238</v>
      </c>
      <c r="E27" s="18">
        <f>'Form-Sb'!F506</f>
        <v>0</v>
      </c>
      <c r="F27" s="274">
        <f>IF(F40=0,E27,'Form-Sb'!G506)</f>
        <v>0</v>
      </c>
    </row>
    <row r="28" spans="1:6" ht="15">
      <c r="A28" s="704">
        <v>9</v>
      </c>
      <c r="B28" s="704" t="s">
        <v>1497</v>
      </c>
      <c r="C28" s="704"/>
      <c r="D28" s="704" t="s">
        <v>238</v>
      </c>
      <c r="E28" s="18">
        <f>'Form-Sb'!F251</f>
        <v>0</v>
      </c>
      <c r="F28" s="18">
        <f>'Form-Sb'!G251</f>
        <v>0</v>
      </c>
    </row>
    <row r="29" spans="1:6" ht="15">
      <c r="A29" s="427"/>
      <c r="B29" s="688"/>
      <c r="C29" s="427"/>
      <c r="D29" s="427"/>
      <c r="E29" s="682"/>
      <c r="F29" s="682"/>
    </row>
    <row r="30" spans="1:6" ht="15">
      <c r="A30" s="17">
        <v>10</v>
      </c>
      <c r="B30" s="19" t="s">
        <v>470</v>
      </c>
      <c r="C30" s="678" t="s">
        <v>1460</v>
      </c>
      <c r="D30" s="17" t="s">
        <v>3</v>
      </c>
      <c r="E30" s="18">
        <f>'Form-Sb'!F219</f>
        <v>0</v>
      </c>
      <c r="F30" s="18">
        <f>'Form-Sb'!G219</f>
        <v>0</v>
      </c>
    </row>
    <row r="31" spans="1:6" ht="15">
      <c r="A31" s="704">
        <v>11</v>
      </c>
      <c r="B31" s="19" t="s">
        <v>471</v>
      </c>
      <c r="C31" s="678" t="s">
        <v>1461</v>
      </c>
      <c r="D31" s="17" t="s">
        <v>3</v>
      </c>
      <c r="E31" s="18">
        <f>'Form-Sb'!F233</f>
        <v>0</v>
      </c>
      <c r="F31" s="18">
        <f>'Form-Sb'!G233</f>
        <v>0</v>
      </c>
    </row>
    <row r="32" spans="1:6" ht="15">
      <c r="A32" s="427"/>
      <c r="B32" s="688"/>
      <c r="C32" s="427"/>
      <c r="D32" s="427"/>
      <c r="E32" s="682"/>
      <c r="F32" s="682"/>
    </row>
    <row r="33" spans="1:6" ht="15">
      <c r="A33" s="17">
        <v>12</v>
      </c>
      <c r="B33" s="17" t="s">
        <v>474</v>
      </c>
      <c r="C33" s="17" t="s">
        <v>1499</v>
      </c>
      <c r="D33" s="17" t="s">
        <v>238</v>
      </c>
      <c r="E33" s="18">
        <f>E26/(1-E30/100)</f>
        <v>0</v>
      </c>
      <c r="F33" s="18">
        <f>F26/(1-F30/100)</f>
        <v>0</v>
      </c>
    </row>
    <row r="34" spans="1:6" ht="15">
      <c r="A34" s="704">
        <v>13</v>
      </c>
      <c r="B34" s="17" t="s">
        <v>475</v>
      </c>
      <c r="C34" s="678" t="s">
        <v>1500</v>
      </c>
      <c r="D34" s="17" t="s">
        <v>238</v>
      </c>
      <c r="E34" s="18">
        <f>E27/(1-E31/100)</f>
        <v>0</v>
      </c>
      <c r="F34" s="18">
        <f>F27/(1-F31/100)</f>
        <v>0</v>
      </c>
    </row>
    <row r="35" spans="1:6" ht="15">
      <c r="A35" s="704">
        <v>14</v>
      </c>
      <c r="B35" s="704" t="s">
        <v>1497</v>
      </c>
      <c r="C35" s="712" t="s">
        <v>1501</v>
      </c>
      <c r="D35" s="704" t="s">
        <v>238</v>
      </c>
      <c r="E35" s="18">
        <f>E28</f>
        <v>0</v>
      </c>
      <c r="F35" s="18">
        <f>F28</f>
        <v>0</v>
      </c>
    </row>
    <row r="36" spans="1:6" ht="15">
      <c r="A36" s="427"/>
      <c r="B36" s="427"/>
      <c r="C36" s="427"/>
      <c r="D36" s="427"/>
      <c r="E36" s="682"/>
      <c r="F36" s="682"/>
    </row>
    <row r="37" spans="1:6" ht="15">
      <c r="A37" s="235">
        <v>15</v>
      </c>
      <c r="B37" s="19" t="s">
        <v>453</v>
      </c>
      <c r="C37" s="17" t="s">
        <v>1188</v>
      </c>
      <c r="D37" s="17" t="s">
        <v>3</v>
      </c>
      <c r="E37" s="239">
        <f>_xlfn.IFERROR((E16*100/$E$23),0)</f>
        <v>0</v>
      </c>
      <c r="F37" s="239">
        <f>_xlfn.IFERROR((F16*100/$F$23),0)</f>
        <v>0</v>
      </c>
    </row>
    <row r="38" spans="1:6" ht="15">
      <c r="A38" s="235">
        <v>16</v>
      </c>
      <c r="B38" s="19" t="s">
        <v>454</v>
      </c>
      <c r="C38" s="17" t="s">
        <v>1189</v>
      </c>
      <c r="D38" s="17" t="s">
        <v>3</v>
      </c>
      <c r="E38" s="239">
        <f>_xlfn.IFERROR((E17*100/$E$23),0)</f>
        <v>0</v>
      </c>
      <c r="F38" s="239">
        <f>_xlfn.IFERROR((F17*100/$F$23),0)</f>
        <v>0</v>
      </c>
    </row>
    <row r="39" spans="1:6" ht="15">
      <c r="A39" s="235">
        <v>17</v>
      </c>
      <c r="B39" s="19" t="s">
        <v>476</v>
      </c>
      <c r="C39" s="17" t="s">
        <v>1190</v>
      </c>
      <c r="D39" s="17" t="s">
        <v>3</v>
      </c>
      <c r="E39" s="239">
        <f>_xlfn.IFERROR((E18*100/$E$23),0)</f>
        <v>0</v>
      </c>
      <c r="F39" s="239">
        <f>_xlfn.IFERROR((F18*100/$F$23),0)</f>
        <v>0</v>
      </c>
    </row>
    <row r="40" spans="1:6" ht="15">
      <c r="A40" s="235">
        <v>18</v>
      </c>
      <c r="B40" s="19" t="s">
        <v>477</v>
      </c>
      <c r="C40" s="17" t="s">
        <v>1191</v>
      </c>
      <c r="D40" s="17" t="s">
        <v>3</v>
      </c>
      <c r="E40" s="239">
        <f>_xlfn.IFERROR((E19*100/$E$23),0)</f>
        <v>0</v>
      </c>
      <c r="F40" s="239">
        <f>_xlfn.IFERROR((F19*100/$F$23),0)</f>
        <v>0</v>
      </c>
    </row>
    <row r="41" spans="1:6" ht="15">
      <c r="A41" s="235">
        <v>19</v>
      </c>
      <c r="B41" s="19" t="s">
        <v>1502</v>
      </c>
      <c r="C41" s="704" t="s">
        <v>1503</v>
      </c>
      <c r="D41" s="704" t="s">
        <v>3</v>
      </c>
      <c r="E41" s="239">
        <f>_xlfn.IFERROR((E21*100/$E$23),0)</f>
        <v>0</v>
      </c>
      <c r="F41" s="239">
        <f>_xlfn.IFERROR((F21*100/$F$23),0)</f>
        <v>0</v>
      </c>
    </row>
    <row r="42" spans="1:6" ht="15">
      <c r="A42" s="427"/>
      <c r="B42" s="688"/>
      <c r="C42" s="427"/>
      <c r="D42" s="427"/>
      <c r="E42" s="689"/>
      <c r="F42" s="689"/>
    </row>
    <row r="43" spans="1:6" ht="30">
      <c r="A43" s="235">
        <v>20</v>
      </c>
      <c r="B43" s="17" t="s">
        <v>1110</v>
      </c>
      <c r="C43" s="19" t="s">
        <v>1505</v>
      </c>
      <c r="D43" s="17" t="s">
        <v>238</v>
      </c>
      <c r="E43" s="18">
        <f>_xlfn.IFERROR((E16*E24+E17*E25+E18*E26+E19*E27+E21*E28)/E23,0)</f>
        <v>0</v>
      </c>
      <c r="F43" s="18">
        <f>_xlfn.IFERROR((F16*F24+F17*F25+F18*F26+F19*F27+F21*F28)/F23,0)</f>
        <v>0</v>
      </c>
    </row>
    <row r="44" spans="1:6" ht="45">
      <c r="A44" s="17">
        <v>21</v>
      </c>
      <c r="B44" s="17" t="s">
        <v>1111</v>
      </c>
      <c r="C44" s="19" t="s">
        <v>1504</v>
      </c>
      <c r="D44" s="17" t="s">
        <v>238</v>
      </c>
      <c r="E44" s="18"/>
      <c r="F44" s="18">
        <f>(F24*$E$37+F25*$E$38+F26*$E$39+F27*$E$40+F28*E41)/100</f>
        <v>0</v>
      </c>
    </row>
    <row r="45" spans="1:6" ht="15">
      <c r="A45" s="427"/>
      <c r="B45" s="427"/>
      <c r="C45" s="688"/>
      <c r="D45" s="427"/>
      <c r="E45" s="682"/>
      <c r="F45" s="682"/>
    </row>
    <row r="46" spans="1:6" ht="30">
      <c r="A46" s="690">
        <v>22</v>
      </c>
      <c r="B46" s="691" t="s">
        <v>455</v>
      </c>
      <c r="C46" s="691" t="s">
        <v>1506</v>
      </c>
      <c r="D46" s="690" t="s">
        <v>231</v>
      </c>
      <c r="E46" s="277"/>
      <c r="F46" s="277">
        <f>F23*(F43-F44)/10</f>
        <v>0</v>
      </c>
    </row>
    <row r="47" spans="1:6" ht="15">
      <c r="A47" s="15">
        <v>23</v>
      </c>
      <c r="B47" s="870" t="s">
        <v>500</v>
      </c>
      <c r="C47" s="15">
        <v>22</v>
      </c>
      <c r="D47" s="15" t="s">
        <v>231</v>
      </c>
      <c r="E47" s="692"/>
      <c r="F47" s="692">
        <f>F46</f>
        <v>0</v>
      </c>
    </row>
    <row r="48" ht="15"/>
    <row r="49" ht="15"/>
    <row r="50" ht="15"/>
    <row r="51" ht="15"/>
    <row r="52" ht="15"/>
    <row r="53" ht="15"/>
    <row r="54" ht="15"/>
  </sheetData>
  <sheetProtection password="997B" sheet="1"/>
  <mergeCells count="4">
    <mergeCell ref="A1:F1"/>
    <mergeCell ref="A2:B2"/>
    <mergeCell ref="C2:F2"/>
    <mergeCell ref="A3:B3"/>
  </mergeCells>
  <printOptions horizontalCentered="1"/>
  <pageMargins left="0.11811023622047245" right="0" top="0.35433070866141736" bottom="0.3937007874015748" header="0.31496062992125984" footer="0.31496062992125984"/>
  <pageSetup horizontalDpi="600" verticalDpi="600" orientation="landscape" paperSize="9" scale="89" r:id="rId1"/>
  <headerFooter>
    <oddFooter>&amp;C&amp;P&amp;RNote: Not to be quoted and not to be published without prior permission</oddFooter>
  </headerFooter>
</worksheet>
</file>

<file path=xl/worksheets/sheet14.xml><?xml version="1.0" encoding="utf-8"?>
<worksheet xmlns="http://schemas.openxmlformats.org/spreadsheetml/2006/main" xmlns:r="http://schemas.openxmlformats.org/officeDocument/2006/relationships">
  <dimension ref="A1:F35"/>
  <sheetViews>
    <sheetView zoomScale="82" zoomScaleNormal="82" zoomScalePageLayoutView="0" workbookViewId="0" topLeftCell="A1">
      <selection activeCell="E12" sqref="E12"/>
    </sheetView>
  </sheetViews>
  <sheetFormatPr defaultColWidth="0" defaultRowHeight="15" zeroHeight="1"/>
  <cols>
    <col min="1" max="1" width="5.8515625" style="247" customWidth="1"/>
    <col min="2" max="2" width="27.140625" style="248" customWidth="1"/>
    <col min="3" max="3" width="28.421875" style="248" customWidth="1"/>
    <col min="4" max="4" width="14.140625" style="248" customWidth="1"/>
    <col min="5" max="5" width="17.28125" style="248" customWidth="1"/>
    <col min="6" max="6" width="16.421875" style="248" customWidth="1"/>
    <col min="7" max="16384" width="0" style="13" hidden="1" customWidth="1"/>
  </cols>
  <sheetData>
    <row r="1" spans="1:6" ht="23.25">
      <c r="A1" s="1103" t="s">
        <v>456</v>
      </c>
      <c r="B1" s="1103"/>
      <c r="C1" s="1103"/>
      <c r="D1" s="1103"/>
      <c r="E1" s="1103"/>
      <c r="F1" s="1103"/>
    </row>
    <row r="2" spans="1:6" s="225" customFormat="1" ht="18.75">
      <c r="A2" s="1104" t="str">
        <f>'NF-5 Power Mix'!A2:B2</f>
        <v>Name of the Unit</v>
      </c>
      <c r="B2" s="1104"/>
      <c r="C2" s="1104" t="str">
        <f>'NF-5 Power Mix'!C2:F2</f>
        <v>  </v>
      </c>
      <c r="D2" s="1104"/>
      <c r="E2" s="1104"/>
      <c r="F2" s="1104"/>
    </row>
    <row r="3" spans="1:6" s="225" customFormat="1" ht="18.75">
      <c r="A3" s="1102" t="s">
        <v>826</v>
      </c>
      <c r="B3" s="1102"/>
      <c r="C3" s="384" t="s">
        <v>689</v>
      </c>
      <c r="D3" s="384"/>
      <c r="E3" s="384" t="str">
        <f>'Form-Sb'!F554</f>
        <v>Yes</v>
      </c>
      <c r="F3" s="384" t="str">
        <f>'Form-Sb'!G554</f>
        <v>Yes</v>
      </c>
    </row>
    <row r="4" spans="1:6" s="230" customFormat="1" ht="27" customHeight="1">
      <c r="A4" s="229" t="s">
        <v>368</v>
      </c>
      <c r="B4" s="240" t="s">
        <v>388</v>
      </c>
      <c r="C4" s="240" t="s">
        <v>389</v>
      </c>
      <c r="D4" s="240" t="s">
        <v>390</v>
      </c>
      <c r="E4" s="241" t="str">
        <f>'Base line Parameters'!E5</f>
        <v>Baseline Year (Average of year1 to Year 3)</v>
      </c>
      <c r="F4" s="241" t="str">
        <f>'Base line Parameters'!F5</f>
        <v>Current/Assessment /Target Year    (20__-20__)</v>
      </c>
    </row>
    <row r="5" spans="1:6" ht="15">
      <c r="A5" s="219">
        <v>1</v>
      </c>
      <c r="B5" s="242" t="s">
        <v>430</v>
      </c>
      <c r="C5" s="242" t="s">
        <v>1432</v>
      </c>
      <c r="D5" s="242" t="s">
        <v>457</v>
      </c>
      <c r="E5" s="18" t="e">
        <f>'Summary Sheet'!E7</f>
        <v>#DIV/0!</v>
      </c>
      <c r="F5" s="18">
        <f>'Summary Sheet'!F7</f>
        <v>0</v>
      </c>
    </row>
    <row r="6" spans="1:6" ht="15">
      <c r="A6" s="219">
        <v>2</v>
      </c>
      <c r="B6" s="242" t="s">
        <v>458</v>
      </c>
      <c r="C6" s="242" t="s">
        <v>1433</v>
      </c>
      <c r="D6" s="242" t="s">
        <v>457</v>
      </c>
      <c r="E6" s="18" t="e">
        <f>'Summary Sheet'!E8</f>
        <v>#DIV/0!</v>
      </c>
      <c r="F6" s="18">
        <f>'Summary Sheet'!F8</f>
        <v>0</v>
      </c>
    </row>
    <row r="7" spans="1:6" ht="15">
      <c r="A7" s="219">
        <v>3</v>
      </c>
      <c r="B7" s="242" t="s">
        <v>81</v>
      </c>
      <c r="C7" s="242" t="s">
        <v>1434</v>
      </c>
      <c r="D7" s="242" t="s">
        <v>457</v>
      </c>
      <c r="E7" s="18" t="e">
        <f>'Summary Sheet'!E15</f>
        <v>#DIV/0!</v>
      </c>
      <c r="F7" s="18">
        <f>'Summary Sheet'!F15</f>
        <v>0</v>
      </c>
    </row>
    <row r="8" spans="1:6" ht="15">
      <c r="A8" s="219">
        <v>4</v>
      </c>
      <c r="B8" s="242" t="s">
        <v>82</v>
      </c>
      <c r="C8" s="242" t="s">
        <v>1435</v>
      </c>
      <c r="D8" s="242" t="s">
        <v>457</v>
      </c>
      <c r="E8" s="18" t="e">
        <f>'Summary Sheet'!E16</f>
        <v>#DIV/0!</v>
      </c>
      <c r="F8" s="18">
        <f>'Summary Sheet'!F16</f>
        <v>0</v>
      </c>
    </row>
    <row r="9" spans="1:6" ht="15">
      <c r="A9" s="219">
        <v>5</v>
      </c>
      <c r="B9" s="242" t="s">
        <v>459</v>
      </c>
      <c r="C9" s="242" t="s">
        <v>1436</v>
      </c>
      <c r="D9" s="242" t="s">
        <v>457</v>
      </c>
      <c r="E9" s="18" t="e">
        <f>'Summary Sheet'!E17</f>
        <v>#DIV/0!</v>
      </c>
      <c r="F9" s="18">
        <f>'Summary Sheet'!F17</f>
        <v>0</v>
      </c>
    </row>
    <row r="10" spans="1:6" ht="15">
      <c r="A10" s="219">
        <v>6</v>
      </c>
      <c r="B10" s="853" t="s">
        <v>1657</v>
      </c>
      <c r="C10" s="242" t="s">
        <v>1436</v>
      </c>
      <c r="D10" s="242" t="s">
        <v>457</v>
      </c>
      <c r="E10" s="852" t="e">
        <f>'Summary Sheet'!E18</f>
        <v>#DIV/0!</v>
      </c>
      <c r="F10" s="852">
        <f>'Summary Sheet'!F18</f>
        <v>0</v>
      </c>
    </row>
    <row r="11" spans="1:6" ht="15">
      <c r="A11" s="679"/>
      <c r="B11" s="681"/>
      <c r="C11" s="681"/>
      <c r="D11" s="681"/>
      <c r="E11" s="682"/>
      <c r="F11" s="682"/>
    </row>
    <row r="12" spans="1:6" ht="30">
      <c r="A12" s="219">
        <v>7</v>
      </c>
      <c r="B12" s="242" t="s">
        <v>493</v>
      </c>
      <c r="C12" s="243" t="s">
        <v>1437</v>
      </c>
      <c r="D12" s="242" t="s">
        <v>136</v>
      </c>
      <c r="E12" s="281">
        <f>IF('Form-Sb'!F27=0,'Form-Sb'!G27,'Form-Sb'!F27)</f>
        <v>0</v>
      </c>
      <c r="F12" s="281">
        <f>IF('Form-Sb'!G27=0,'Form-Sb'!H27,'Form-Sb'!G27)</f>
        <v>0</v>
      </c>
    </row>
    <row r="13" spans="1:6" ht="30">
      <c r="A13" s="219">
        <v>8</v>
      </c>
      <c r="B13" s="242" t="s">
        <v>494</v>
      </c>
      <c r="C13" s="243" t="s">
        <v>226</v>
      </c>
      <c r="D13" s="242" t="s">
        <v>136</v>
      </c>
      <c r="E13" s="280" t="e">
        <f>IF(E8=0,0,'Form-Sb'!F28)</f>
        <v>#DIV/0!</v>
      </c>
      <c r="F13" s="280">
        <f>IF(F8=0,0,'Form-Sb'!G28)</f>
        <v>0</v>
      </c>
    </row>
    <row r="14" spans="1:6" ht="30">
      <c r="A14" s="219">
        <v>9</v>
      </c>
      <c r="B14" s="243" t="s">
        <v>822</v>
      </c>
      <c r="C14" s="243" t="s">
        <v>227</v>
      </c>
      <c r="D14" s="242" t="s">
        <v>136</v>
      </c>
      <c r="E14" s="280" t="e">
        <f>IF(E9=0,0,'Form-Sb'!F29)</f>
        <v>#DIV/0!</v>
      </c>
      <c r="F14" s="280">
        <f>IF(F9=0,0,'Form-Sb'!G29)</f>
        <v>0</v>
      </c>
    </row>
    <row r="15" spans="1:6" ht="60">
      <c r="A15" s="244">
        <v>10</v>
      </c>
      <c r="B15" s="859" t="s">
        <v>1682</v>
      </c>
      <c r="C15" s="859" t="s">
        <v>1676</v>
      </c>
      <c r="D15" s="242" t="s">
        <v>136</v>
      </c>
      <c r="E15" s="280" t="e">
        <f>IF(E10=0,0,'Form-Sb'!F30)</f>
        <v>#DIV/0!</v>
      </c>
      <c r="F15" s="280">
        <f>IF(F10=0,0,'Form-Sb'!G30)</f>
        <v>0</v>
      </c>
    </row>
    <row r="16" spans="1:6" ht="15">
      <c r="A16" s="713"/>
      <c r="B16" s="714"/>
      <c r="C16" s="714"/>
      <c r="D16" s="681"/>
      <c r="E16" s="715"/>
      <c r="F16" s="715"/>
    </row>
    <row r="17" spans="1:6" ht="33.75" customHeight="1">
      <c r="A17" s="244">
        <v>11</v>
      </c>
      <c r="B17" s="245" t="s">
        <v>145</v>
      </c>
      <c r="C17" s="242" t="s">
        <v>1438</v>
      </c>
      <c r="D17" s="242" t="s">
        <v>457</v>
      </c>
      <c r="E17" s="18">
        <f>'Summary Sheet'!E41</f>
        <v>0</v>
      </c>
      <c r="F17" s="18">
        <f>'Summary Sheet'!F41</f>
        <v>0</v>
      </c>
    </row>
    <row r="18" spans="1:6" ht="30">
      <c r="A18" s="219">
        <v>12</v>
      </c>
      <c r="B18" s="243" t="s">
        <v>249</v>
      </c>
      <c r="C18" s="242" t="s">
        <v>1439</v>
      </c>
      <c r="D18" s="242" t="s">
        <v>457</v>
      </c>
      <c r="E18" s="18">
        <f>'Summary Sheet'!E39</f>
        <v>0</v>
      </c>
      <c r="F18" s="18">
        <f>'Summary Sheet'!F39</f>
        <v>0</v>
      </c>
    </row>
    <row r="19" spans="1:6" ht="15">
      <c r="A19" s="679"/>
      <c r="B19" s="714"/>
      <c r="C19" s="681"/>
      <c r="D19" s="716"/>
      <c r="E19" s="682"/>
      <c r="F19" s="682"/>
    </row>
    <row r="20" spans="1:6" ht="15">
      <c r="A20" s="219">
        <v>13</v>
      </c>
      <c r="B20" s="47" t="s">
        <v>147</v>
      </c>
      <c r="C20" s="242" t="s">
        <v>1440</v>
      </c>
      <c r="D20" s="46" t="s">
        <v>268</v>
      </c>
      <c r="E20" s="18">
        <f>'Summary Sheet'!E43</f>
        <v>0</v>
      </c>
      <c r="F20" s="18">
        <f>'Summary Sheet'!F43</f>
        <v>0</v>
      </c>
    </row>
    <row r="21" spans="1:6" ht="30">
      <c r="A21" s="219">
        <v>14</v>
      </c>
      <c r="B21" s="47" t="s">
        <v>708</v>
      </c>
      <c r="C21" s="242" t="s">
        <v>1441</v>
      </c>
      <c r="D21" s="46" t="s">
        <v>149</v>
      </c>
      <c r="E21" s="18">
        <f>'Summary Sheet'!E44</f>
        <v>0</v>
      </c>
      <c r="F21" s="18">
        <f>'Summary Sheet'!F44</f>
        <v>0</v>
      </c>
    </row>
    <row r="22" spans="1:6" ht="30">
      <c r="A22" s="219">
        <v>15</v>
      </c>
      <c r="B22" s="47" t="s">
        <v>150</v>
      </c>
      <c r="C22" s="242" t="s">
        <v>1442</v>
      </c>
      <c r="D22" s="46" t="s">
        <v>151</v>
      </c>
      <c r="E22" s="18">
        <f>'Summary Sheet'!E45</f>
        <v>0</v>
      </c>
      <c r="F22" s="18">
        <f>'Summary Sheet'!F45</f>
        <v>0</v>
      </c>
    </row>
    <row r="23" spans="1:6" ht="30">
      <c r="A23" s="219">
        <v>16</v>
      </c>
      <c r="B23" s="246" t="s">
        <v>256</v>
      </c>
      <c r="C23" s="242" t="s">
        <v>1443</v>
      </c>
      <c r="D23" s="242" t="s">
        <v>460</v>
      </c>
      <c r="E23" s="18">
        <f>'Base line Parameters'!E58</f>
        <v>0</v>
      </c>
      <c r="F23" s="18">
        <f>'Base line Parameters'!F58</f>
        <v>0</v>
      </c>
    </row>
    <row r="24" spans="1:6" ht="15">
      <c r="A24" s="679"/>
      <c r="B24" s="680"/>
      <c r="C24" s="681"/>
      <c r="D24" s="681"/>
      <c r="E24" s="682"/>
      <c r="F24" s="682"/>
    </row>
    <row r="25" spans="1:6" ht="39.75" customHeight="1">
      <c r="A25" s="219">
        <v>17</v>
      </c>
      <c r="B25" s="246" t="s">
        <v>1683</v>
      </c>
      <c r="C25" s="859" t="s">
        <v>1687</v>
      </c>
      <c r="D25" s="242" t="s">
        <v>136</v>
      </c>
      <c r="E25" s="22">
        <f>_xlfn.IFERROR((E8*E13+E9*E14+E10*E15)/(E8+E9+E10),0)</f>
        <v>0</v>
      </c>
      <c r="F25" s="22">
        <f>_xlfn.IFERROR((F8*F13+F9*F14+F10*F15)/(F8+F9+F10),0)</f>
        <v>0</v>
      </c>
    </row>
    <row r="26" spans="1:6" ht="15">
      <c r="A26" s="219">
        <v>18</v>
      </c>
      <c r="B26" s="243" t="s">
        <v>461</v>
      </c>
      <c r="C26" s="859" t="s">
        <v>1688</v>
      </c>
      <c r="D26" s="242" t="s">
        <v>231</v>
      </c>
      <c r="E26" s="18" t="e">
        <f>(E17-E18-E6)*E22*E23/10</f>
        <v>#DIV/0!</v>
      </c>
      <c r="F26" s="18">
        <f>(F17-F18-F6)*F22*F23/10</f>
        <v>0</v>
      </c>
    </row>
    <row r="27" spans="1:6" ht="30">
      <c r="A27" s="221">
        <v>19</v>
      </c>
      <c r="B27" s="275" t="s">
        <v>462</v>
      </c>
      <c r="C27" s="861" t="s">
        <v>1689</v>
      </c>
      <c r="D27" s="276" t="s">
        <v>231</v>
      </c>
      <c r="E27" s="277"/>
      <c r="F27" s="277" t="e">
        <f>E26-F26</f>
        <v>#DIV/0!</v>
      </c>
    </row>
    <row r="28" spans="1:6" ht="15">
      <c r="A28" s="221"/>
      <c r="B28" s="240"/>
      <c r="C28" s="240"/>
      <c r="D28" s="717"/>
      <c r="E28" s="692"/>
      <c r="F28" s="692"/>
    </row>
    <row r="29" spans="1:6" ht="45">
      <c r="A29" s="282">
        <v>20</v>
      </c>
      <c r="B29" s="278" t="s">
        <v>1079</v>
      </c>
      <c r="C29" s="860" t="s">
        <v>1690</v>
      </c>
      <c r="D29" s="279" t="s">
        <v>457</v>
      </c>
      <c r="E29" s="274"/>
      <c r="F29" s="280" t="e">
        <f>IF(E8=0,F8*(F12-F13),F8*((F12-F13)-(E12-E13)))</f>
        <v>#DIV/0!</v>
      </c>
    </row>
    <row r="30" spans="1:6" ht="45">
      <c r="A30" s="282">
        <v>21</v>
      </c>
      <c r="B30" s="278" t="s">
        <v>1080</v>
      </c>
      <c r="C30" s="860" t="s">
        <v>1691</v>
      </c>
      <c r="D30" s="279" t="s">
        <v>457</v>
      </c>
      <c r="E30" s="274"/>
      <c r="F30" s="280" t="e">
        <f>IF(E9=0,F9*(F12-F14),F9*((F12-F14)-(E12-E14)))</f>
        <v>#DIV/0!</v>
      </c>
    </row>
    <row r="31" spans="1:6" ht="60">
      <c r="A31" s="282">
        <v>22</v>
      </c>
      <c r="B31" s="860" t="s">
        <v>1684</v>
      </c>
      <c r="C31" s="860" t="s">
        <v>1692</v>
      </c>
      <c r="D31" s="279" t="s">
        <v>457</v>
      </c>
      <c r="E31" s="274"/>
      <c r="F31" s="280" t="e">
        <f>IF(E10=0,F10*(F12-F15),F10*((F12-F15)-(E12-E15)))</f>
        <v>#DIV/0!</v>
      </c>
    </row>
    <row r="32" spans="1:6" ht="60">
      <c r="A32" s="282">
        <v>23</v>
      </c>
      <c r="B32" s="860" t="s">
        <v>1686</v>
      </c>
      <c r="C32" s="860" t="s">
        <v>1685</v>
      </c>
      <c r="D32" s="279" t="s">
        <v>457</v>
      </c>
      <c r="E32" s="274"/>
      <c r="F32" s="280" t="e">
        <f>SUM(F29:F31)</f>
        <v>#DIV/0!</v>
      </c>
    </row>
    <row r="33" spans="1:6" ht="15">
      <c r="A33" s="679"/>
      <c r="B33" s="714"/>
      <c r="C33" s="714"/>
      <c r="D33" s="681"/>
      <c r="E33" s="682"/>
      <c r="F33" s="715"/>
    </row>
    <row r="34" spans="1:6" ht="60">
      <c r="A34" s="221">
        <v>24</v>
      </c>
      <c r="B34" s="275" t="s">
        <v>463</v>
      </c>
      <c r="C34" s="861" t="s">
        <v>1693</v>
      </c>
      <c r="D34" s="276" t="s">
        <v>231</v>
      </c>
      <c r="E34" s="277"/>
      <c r="F34" s="277" t="e">
        <f>F32*(F20*1000+F21*F23)/10</f>
        <v>#DIV/0!</v>
      </c>
    </row>
    <row r="35" spans="1:6" ht="30">
      <c r="A35" s="221">
        <v>25</v>
      </c>
      <c r="B35" s="240" t="s">
        <v>464</v>
      </c>
      <c r="C35" s="240" t="s">
        <v>1444</v>
      </c>
      <c r="D35" s="240" t="s">
        <v>231</v>
      </c>
      <c r="E35" s="240"/>
      <c r="F35" s="241" t="e">
        <f>IF(AND(E3="yes",F3="yes"),F27+F34,0)</f>
        <v>#DIV/0!</v>
      </c>
    </row>
    <row r="36" ht="15"/>
    <row r="37" ht="15"/>
    <row r="38" ht="15"/>
    <row r="39" ht="15"/>
  </sheetData>
  <sheetProtection password="E2BB" sheet="1"/>
  <mergeCells count="4">
    <mergeCell ref="A1:F1"/>
    <mergeCell ref="A2:B2"/>
    <mergeCell ref="C2:F2"/>
    <mergeCell ref="A3:B3"/>
  </mergeCells>
  <printOptions horizontalCentered="1"/>
  <pageMargins left="0.11811023622047245" right="0" top="0.35433070866141736" bottom="0.5511811023622047" header="0.31496062992125984" footer="0.31496062992125984"/>
  <pageSetup horizontalDpi="600" verticalDpi="600" orientation="landscape" paperSize="9" r:id="rId1"/>
  <headerFooter>
    <oddFooter>&amp;C&amp;P&amp;RNote: Not to be quoted and not to be published without prior permission</oddFooter>
  </headerFooter>
</worksheet>
</file>

<file path=xl/worksheets/sheet15.xml><?xml version="1.0" encoding="utf-8"?>
<worksheet xmlns="http://schemas.openxmlformats.org/spreadsheetml/2006/main" xmlns:r="http://schemas.openxmlformats.org/officeDocument/2006/relationships">
  <dimension ref="A1:F45"/>
  <sheetViews>
    <sheetView zoomScalePageLayoutView="0" workbookViewId="0" topLeftCell="A23">
      <selection activeCell="A2" sqref="A2:F2"/>
    </sheetView>
  </sheetViews>
  <sheetFormatPr defaultColWidth="0" defaultRowHeight="13.5" customHeight="1" zeroHeight="1"/>
  <cols>
    <col min="1" max="1" width="9.140625" style="230" customWidth="1"/>
    <col min="2" max="2" width="40.7109375" style="230" customWidth="1"/>
    <col min="3" max="3" width="27.7109375" style="230" customWidth="1"/>
    <col min="4" max="4" width="17.7109375" style="230" customWidth="1"/>
    <col min="5" max="5" width="11.57421875" style="230" customWidth="1"/>
    <col min="6" max="6" width="13.7109375" style="230" customWidth="1"/>
    <col min="7" max="16384" width="0" style="13" hidden="1" customWidth="1"/>
  </cols>
  <sheetData>
    <row r="1" spans="1:6" ht="23.25">
      <c r="A1" s="1089" t="s">
        <v>745</v>
      </c>
      <c r="B1" s="1090"/>
      <c r="C1" s="1090"/>
      <c r="D1" s="1090"/>
      <c r="E1" s="1090"/>
      <c r="F1" s="1091"/>
    </row>
    <row r="2" spans="1:6" s="225" customFormat="1" ht="18.75">
      <c r="A2" s="1105" t="str">
        <f>'NF-3 Petcoke'!A2:B2</f>
        <v>Name of the Unit</v>
      </c>
      <c r="B2" s="1094"/>
      <c r="C2" s="1094" t="str">
        <f>'NF-3 Petcoke'!C2:F2</f>
        <v>  </v>
      </c>
      <c r="D2" s="1094"/>
      <c r="E2" s="1094"/>
      <c r="F2" s="1095"/>
    </row>
    <row r="3" spans="1:6" s="225" customFormat="1" ht="18.75">
      <c r="A3" s="1102" t="s">
        <v>826</v>
      </c>
      <c r="B3" s="1102"/>
      <c r="C3" s="384" t="s">
        <v>689</v>
      </c>
      <c r="D3" s="571"/>
      <c r="E3" s="571" t="str">
        <f>'Form-Sb'!F555</f>
        <v>Yes</v>
      </c>
      <c r="F3" s="571" t="str">
        <f>'Form-Sb'!G555</f>
        <v>Yes</v>
      </c>
    </row>
    <row r="4" spans="1:6" ht="75">
      <c r="A4" s="16" t="s">
        <v>368</v>
      </c>
      <c r="B4" s="26" t="s">
        <v>443</v>
      </c>
      <c r="C4" s="26" t="s">
        <v>444</v>
      </c>
      <c r="D4" s="26" t="s">
        <v>2</v>
      </c>
      <c r="E4" s="573" t="str">
        <f>'Base line Parameters'!E5</f>
        <v>Baseline Year (Average of year1 to Year 3)</v>
      </c>
      <c r="F4" s="573" t="str">
        <f>'Base line Parameters'!F5</f>
        <v>Current/Assessment /Target Year    (20__-20__)</v>
      </c>
    </row>
    <row r="5" spans="1:6" ht="15">
      <c r="A5" s="364">
        <v>1</v>
      </c>
      <c r="B5" s="365" t="s">
        <v>393</v>
      </c>
      <c r="C5" s="365" t="s">
        <v>1408</v>
      </c>
      <c r="D5" s="365" t="s">
        <v>742</v>
      </c>
      <c r="E5" s="366">
        <f>'Base line Parameters'!E58</f>
        <v>0</v>
      </c>
      <c r="F5" s="366">
        <f>'Base line Parameters'!F58</f>
        <v>0</v>
      </c>
    </row>
    <row r="6" spans="1:6" ht="15">
      <c r="A6" s="364">
        <v>2</v>
      </c>
      <c r="B6" s="365" t="s">
        <v>782</v>
      </c>
      <c r="C6" s="365" t="s">
        <v>1409</v>
      </c>
      <c r="D6" s="365" t="s">
        <v>269</v>
      </c>
      <c r="E6" s="366">
        <f>'Form-Sb'!F368</f>
        <v>0</v>
      </c>
      <c r="F6" s="366">
        <f>'Form-Sb'!G368</f>
        <v>0</v>
      </c>
    </row>
    <row r="7" spans="1:6" ht="15">
      <c r="A7" s="364">
        <v>3</v>
      </c>
      <c r="B7" s="365" t="s">
        <v>784</v>
      </c>
      <c r="C7" s="365" t="s">
        <v>1410</v>
      </c>
      <c r="D7" s="365" t="s">
        <v>269</v>
      </c>
      <c r="E7" s="366">
        <f>'Form-Sb'!F378</f>
        <v>0</v>
      </c>
      <c r="F7" s="366">
        <f>'Form-Sb'!G378</f>
        <v>0</v>
      </c>
    </row>
    <row r="8" spans="1:6" ht="15">
      <c r="A8" s="364">
        <v>4</v>
      </c>
      <c r="B8" s="365" t="s">
        <v>783</v>
      </c>
      <c r="C8" s="365" t="s">
        <v>1411</v>
      </c>
      <c r="D8" s="365" t="s">
        <v>269</v>
      </c>
      <c r="E8" s="366">
        <f>'Form-Sb'!F459</f>
        <v>0</v>
      </c>
      <c r="F8" s="366">
        <f>'Form-Sb'!G459</f>
        <v>0</v>
      </c>
    </row>
    <row r="9" spans="1:6" ht="15">
      <c r="A9" s="364">
        <v>5</v>
      </c>
      <c r="B9" s="365" t="s">
        <v>1125</v>
      </c>
      <c r="C9" s="365" t="s">
        <v>1179</v>
      </c>
      <c r="D9" s="365" t="s">
        <v>742</v>
      </c>
      <c r="E9" s="366">
        <f>'NF-5 Power Mix'!E33</f>
        <v>0</v>
      </c>
      <c r="F9" s="366">
        <f>'NF-5 Power Mix'!F33</f>
        <v>0</v>
      </c>
    </row>
    <row r="10" spans="1:6" ht="15">
      <c r="A10" s="367"/>
      <c r="B10" s="368"/>
      <c r="C10" s="368"/>
      <c r="D10" s="368"/>
      <c r="E10" s="369"/>
      <c r="F10" s="369"/>
    </row>
    <row r="11" spans="1:6" ht="45">
      <c r="A11" s="364">
        <v>6</v>
      </c>
      <c r="B11" s="365" t="s">
        <v>1126</v>
      </c>
      <c r="C11" s="365" t="s">
        <v>1412</v>
      </c>
      <c r="D11" s="365" t="s">
        <v>1118</v>
      </c>
      <c r="E11" s="366"/>
      <c r="F11" s="366">
        <f>'Form-Sb'!G114</f>
        <v>0</v>
      </c>
    </row>
    <row r="12" spans="1:6" ht="30">
      <c r="A12" s="364">
        <v>7</v>
      </c>
      <c r="B12" s="365" t="s">
        <v>1120</v>
      </c>
      <c r="C12" s="365" t="s">
        <v>1413</v>
      </c>
      <c r="D12" s="365" t="s">
        <v>1118</v>
      </c>
      <c r="E12" s="366"/>
      <c r="F12" s="366">
        <f>'Form-Sb'!G115</f>
        <v>0</v>
      </c>
    </row>
    <row r="13" spans="1:6" ht="30">
      <c r="A13" s="364">
        <v>8</v>
      </c>
      <c r="B13" s="365" t="s">
        <v>511</v>
      </c>
      <c r="C13" s="365" t="s">
        <v>1414</v>
      </c>
      <c r="D13" s="365" t="s">
        <v>1184</v>
      </c>
      <c r="E13" s="366">
        <f>'Summary Sheet'!E63</f>
        <v>0</v>
      </c>
      <c r="F13" s="366">
        <f>'Summary Sheet'!F63</f>
        <v>0</v>
      </c>
    </row>
    <row r="14" spans="1:6" ht="30">
      <c r="A14" s="364">
        <v>9</v>
      </c>
      <c r="B14" s="37" t="s">
        <v>1144</v>
      </c>
      <c r="C14" s="365" t="s">
        <v>1415</v>
      </c>
      <c r="D14" s="365" t="s">
        <v>1185</v>
      </c>
      <c r="E14" s="380">
        <f>'Form-Sb'!F120</f>
        <v>0</v>
      </c>
      <c r="F14" s="366"/>
    </row>
    <row r="15" spans="1:6" ht="30">
      <c r="A15" s="364">
        <v>10</v>
      </c>
      <c r="B15" s="37" t="s">
        <v>1145</v>
      </c>
      <c r="C15" s="365" t="s">
        <v>1416</v>
      </c>
      <c r="D15" s="365" t="s">
        <v>1149</v>
      </c>
      <c r="E15" s="366">
        <f>'Form-Sb'!F121</f>
        <v>0</v>
      </c>
      <c r="F15" s="366"/>
    </row>
    <row r="16" spans="1:6" ht="15">
      <c r="A16" s="370"/>
      <c r="B16" s="371"/>
      <c r="C16" s="371"/>
      <c r="D16" s="371"/>
      <c r="E16" s="372"/>
      <c r="F16" s="372"/>
    </row>
    <row r="17" spans="1:6" s="21" customFormat="1" ht="30">
      <c r="A17" s="373">
        <v>11</v>
      </c>
      <c r="B17" s="27" t="s">
        <v>781</v>
      </c>
      <c r="C17" s="365" t="s">
        <v>1417</v>
      </c>
      <c r="D17" s="3" t="s">
        <v>231</v>
      </c>
      <c r="E17" s="226"/>
      <c r="F17" s="226">
        <f>('Form-Sb'!G523*F5/10)+'Form-Sb'!G524</f>
        <v>0</v>
      </c>
    </row>
    <row r="18" spans="1:6" s="21" customFormat="1" ht="30">
      <c r="A18" s="373">
        <v>12</v>
      </c>
      <c r="B18" s="20" t="s">
        <v>749</v>
      </c>
      <c r="C18" s="365" t="s">
        <v>1418</v>
      </c>
      <c r="D18" s="3" t="s">
        <v>231</v>
      </c>
      <c r="E18" s="226"/>
      <c r="F18" s="226">
        <f>'Form-Sb'!G527*E6/10^3</f>
        <v>0</v>
      </c>
    </row>
    <row r="19" spans="1:6" s="21" customFormat="1" ht="45">
      <c r="A19" s="373">
        <v>13</v>
      </c>
      <c r="B19" s="20" t="s">
        <v>750</v>
      </c>
      <c r="C19" s="365" t="s">
        <v>1419</v>
      </c>
      <c r="D19" s="3" t="s">
        <v>231</v>
      </c>
      <c r="E19" s="226"/>
      <c r="F19" s="226">
        <f>'Form-Sb'!G528*E7/10^3</f>
        <v>0</v>
      </c>
    </row>
    <row r="20" spans="1:6" s="21" customFormat="1" ht="45">
      <c r="A20" s="373">
        <v>14</v>
      </c>
      <c r="B20" s="27" t="s">
        <v>751</v>
      </c>
      <c r="C20" s="365" t="s">
        <v>1420</v>
      </c>
      <c r="D20" s="3" t="s">
        <v>231</v>
      </c>
      <c r="E20" s="226"/>
      <c r="F20" s="226">
        <f>'Form-Sb'!G529*E8/10^3</f>
        <v>0</v>
      </c>
    </row>
    <row r="21" spans="1:6" ht="45">
      <c r="A21" s="373">
        <v>15</v>
      </c>
      <c r="B21" s="27" t="s">
        <v>785</v>
      </c>
      <c r="C21" s="365" t="s">
        <v>1421</v>
      </c>
      <c r="D21" s="374" t="s">
        <v>231</v>
      </c>
      <c r="E21" s="375"/>
      <c r="F21" s="375">
        <f>('Form-Sb'!G531*F5/10)+'Form-Sb'!G532</f>
        <v>0</v>
      </c>
    </row>
    <row r="22" spans="1:6" ht="45">
      <c r="A22" s="373">
        <v>16</v>
      </c>
      <c r="B22" s="20" t="s">
        <v>786</v>
      </c>
      <c r="C22" s="365" t="s">
        <v>1422</v>
      </c>
      <c r="D22" s="3" t="s">
        <v>231</v>
      </c>
      <c r="E22" s="226"/>
      <c r="F22" s="228">
        <f>('Form-Sb'!G534*'NF-7 Others'!F5/10)+'Form-Sb'!G535</f>
        <v>0</v>
      </c>
    </row>
    <row r="23" spans="1:6" ht="60">
      <c r="A23" s="373">
        <v>17</v>
      </c>
      <c r="B23" s="20" t="s">
        <v>787</v>
      </c>
      <c r="C23" s="365" t="s">
        <v>1423</v>
      </c>
      <c r="D23" s="3" t="s">
        <v>231</v>
      </c>
      <c r="E23" s="226"/>
      <c r="F23" s="272">
        <f>('Form-Sb'!G538*'NF-7 Others'!F5/10)+'Form-Sb'!G539</f>
        <v>0</v>
      </c>
    </row>
    <row r="24" spans="1:6" ht="45">
      <c r="A24" s="373">
        <v>18</v>
      </c>
      <c r="B24" s="20" t="s">
        <v>788</v>
      </c>
      <c r="C24" s="365" t="s">
        <v>1424</v>
      </c>
      <c r="D24" s="3" t="s">
        <v>231</v>
      </c>
      <c r="E24" s="226"/>
      <c r="F24" s="228">
        <f>('Form-Sb'!G543*F5/10)+'Form-Sb'!G544</f>
        <v>0</v>
      </c>
    </row>
    <row r="25" spans="1:6" ht="45">
      <c r="A25" s="373">
        <v>19</v>
      </c>
      <c r="B25" s="20" t="s">
        <v>1194</v>
      </c>
      <c r="C25" s="365" t="s">
        <v>1425</v>
      </c>
      <c r="D25" s="3" t="s">
        <v>231</v>
      </c>
      <c r="E25" s="226"/>
      <c r="F25" s="639">
        <f>'Form-Sb'!G540*F5/10</f>
        <v>0</v>
      </c>
    </row>
    <row r="26" spans="1:6" ht="15">
      <c r="A26" s="16">
        <v>20</v>
      </c>
      <c r="B26" s="26" t="s">
        <v>448</v>
      </c>
      <c r="C26" s="26"/>
      <c r="D26" s="26" t="s">
        <v>449</v>
      </c>
      <c r="E26" s="229"/>
      <c r="F26" s="229">
        <f>IF(AND(E3="yes",F3="yes"),SUM(F17:F24),0)</f>
        <v>0</v>
      </c>
    </row>
    <row r="27" spans="1:6" ht="14.25" customHeight="1">
      <c r="A27" s="1106" t="s">
        <v>1153</v>
      </c>
      <c r="B27" s="1107"/>
      <c r="C27" s="1107"/>
      <c r="D27" s="1107"/>
      <c r="E27" s="1107"/>
      <c r="F27" s="1108"/>
    </row>
    <row r="28" spans="1:6" ht="30">
      <c r="A28" s="373">
        <v>21</v>
      </c>
      <c r="B28" s="365" t="s">
        <v>1154</v>
      </c>
      <c r="C28" s="376" t="s">
        <v>1180</v>
      </c>
      <c r="D28" s="273" t="s">
        <v>367</v>
      </c>
      <c r="E28" s="377">
        <f>E14*10000</f>
        <v>0</v>
      </c>
      <c r="F28" s="272"/>
    </row>
    <row r="29" spans="1:6" ht="30">
      <c r="A29" s="373">
        <v>22</v>
      </c>
      <c r="B29" s="365" t="s">
        <v>1154</v>
      </c>
      <c r="C29" s="376" t="s">
        <v>1426</v>
      </c>
      <c r="D29" s="273" t="s">
        <v>231</v>
      </c>
      <c r="E29" s="24">
        <f>E28*E15*1000/10^6</f>
        <v>0</v>
      </c>
      <c r="F29" s="272"/>
    </row>
    <row r="30" spans="1:6" ht="30">
      <c r="A30" s="373">
        <v>23</v>
      </c>
      <c r="B30" s="365" t="s">
        <v>1152</v>
      </c>
      <c r="C30" s="376" t="s">
        <v>1181</v>
      </c>
      <c r="D30" s="273" t="s">
        <v>367</v>
      </c>
      <c r="E30" s="377"/>
      <c r="F30" s="272">
        <f>E13-F13</f>
        <v>0</v>
      </c>
    </row>
    <row r="31" spans="1:6" ht="15">
      <c r="A31" s="373">
        <v>24</v>
      </c>
      <c r="B31" s="365" t="s">
        <v>1152</v>
      </c>
      <c r="C31" s="376" t="s">
        <v>1427</v>
      </c>
      <c r="D31" s="273" t="s">
        <v>231</v>
      </c>
      <c r="E31" s="377"/>
      <c r="F31" s="382">
        <f>F30*E15*1000/10^6</f>
        <v>0</v>
      </c>
    </row>
    <row r="32" spans="1:6" ht="30">
      <c r="A32" s="373">
        <v>25</v>
      </c>
      <c r="B32" s="365" t="s">
        <v>1155</v>
      </c>
      <c r="C32" s="376" t="s">
        <v>1428</v>
      </c>
      <c r="D32" s="273" t="s">
        <v>367</v>
      </c>
      <c r="E32" s="377"/>
      <c r="F32" s="272">
        <f>F30-E28</f>
        <v>0</v>
      </c>
    </row>
    <row r="33" spans="1:6" ht="30">
      <c r="A33" s="373">
        <v>26</v>
      </c>
      <c r="B33" s="365" t="s">
        <v>1155</v>
      </c>
      <c r="C33" s="376" t="s">
        <v>1429</v>
      </c>
      <c r="D33" s="273" t="s">
        <v>231</v>
      </c>
      <c r="E33" s="377"/>
      <c r="F33" s="18">
        <f>F31-E29</f>
        <v>0</v>
      </c>
    </row>
    <row r="34" spans="1:6" ht="60">
      <c r="A34" s="373">
        <v>27</v>
      </c>
      <c r="B34" s="365" t="s">
        <v>1156</v>
      </c>
      <c r="C34" s="376" t="s">
        <v>1430</v>
      </c>
      <c r="D34" s="273" t="s">
        <v>231</v>
      </c>
      <c r="E34" s="377"/>
      <c r="F34" s="382">
        <f>IF(F9=0,(F11+F12)*1000*2717/10^6,(F11+F12)*1000*F9/10^6)</f>
        <v>0</v>
      </c>
    </row>
    <row r="35" spans="1:6" s="233" customFormat="1" ht="45">
      <c r="A35" s="16">
        <v>28</v>
      </c>
      <c r="B35" s="378" t="s">
        <v>1168</v>
      </c>
      <c r="C35" s="379" t="s">
        <v>1431</v>
      </c>
      <c r="D35" s="26" t="s">
        <v>231</v>
      </c>
      <c r="E35" s="229"/>
      <c r="F35" s="241">
        <f>IF(F32&lt;=0,0,IF(F34&gt;F33,F33,F34))</f>
        <v>0</v>
      </c>
    </row>
    <row r="36" spans="1:6" ht="15">
      <c r="A36" s="373"/>
      <c r="B36" s="27"/>
      <c r="C36" s="374"/>
      <c r="D36" s="3"/>
      <c r="E36" s="226"/>
      <c r="F36" s="228"/>
    </row>
    <row r="37" spans="1:6" ht="15">
      <c r="A37" s="13"/>
      <c r="B37" s="13"/>
      <c r="C37" s="13"/>
      <c r="D37" s="13"/>
      <c r="E37" s="13"/>
      <c r="F37" s="13"/>
    </row>
    <row r="38" spans="1:6" ht="15">
      <c r="A38" s="13"/>
      <c r="B38" s="13"/>
      <c r="C38" s="13"/>
      <c r="D38" s="13"/>
      <c r="E38" s="13"/>
      <c r="F38" s="13"/>
    </row>
    <row r="39" spans="1:6" ht="15">
      <c r="A39" s="13"/>
      <c r="B39" s="13"/>
      <c r="C39" s="13"/>
      <c r="D39" s="13"/>
      <c r="E39" s="381"/>
      <c r="F39" s="13"/>
    </row>
    <row r="40" spans="1:6" ht="13.5" customHeight="1">
      <c r="A40" s="13"/>
      <c r="B40" s="13"/>
      <c r="C40" s="13"/>
      <c r="D40" s="13"/>
      <c r="E40" s="381"/>
      <c r="F40" s="13"/>
    </row>
    <row r="41" spans="1:6" ht="13.5" customHeight="1">
      <c r="A41" s="13"/>
      <c r="B41" s="13"/>
      <c r="C41" s="13"/>
      <c r="D41" s="13"/>
      <c r="E41" s="13"/>
      <c r="F41" s="13"/>
    </row>
    <row r="42" spans="1:6" ht="13.5" customHeight="1">
      <c r="A42" s="13"/>
      <c r="B42" s="13"/>
      <c r="C42" s="13"/>
      <c r="D42" s="13"/>
      <c r="E42" s="13"/>
      <c r="F42" s="13"/>
    </row>
    <row r="43" spans="1:6" ht="13.5" customHeight="1">
      <c r="A43" s="13"/>
      <c r="B43" s="13"/>
      <c r="C43" s="13"/>
      <c r="D43" s="13"/>
      <c r="E43" s="13"/>
      <c r="F43" s="13"/>
    </row>
    <row r="44" spans="1:6" ht="13.5" customHeight="1">
      <c r="A44" s="13"/>
      <c r="B44" s="13"/>
      <c r="C44" s="13"/>
      <c r="D44" s="13"/>
      <c r="E44" s="13"/>
      <c r="F44" s="13"/>
    </row>
    <row r="45" spans="1:6" ht="13.5" customHeight="1">
      <c r="A45" s="13"/>
      <c r="B45" s="13"/>
      <c r="C45" s="13"/>
      <c r="D45" s="13"/>
      <c r="E45" s="13"/>
      <c r="F45" s="13"/>
    </row>
  </sheetData>
  <sheetProtection password="E2BB" sheet="1"/>
  <mergeCells count="5">
    <mergeCell ref="A1:F1"/>
    <mergeCell ref="A2:B2"/>
    <mergeCell ref="C2:F2"/>
    <mergeCell ref="A3:B3"/>
    <mergeCell ref="A27:F27"/>
  </mergeCells>
  <printOptions horizontalCentered="1"/>
  <pageMargins left="0.11811023622047245" right="0" top="0.7480314960629921" bottom="0.7480314960629921" header="0.31496062992125984" footer="0.31496062992125984"/>
  <pageSetup horizontalDpi="600" verticalDpi="600" orientation="landscape" scale="98" r:id="rId1"/>
  <headerFooter>
    <oddFooter>&amp;C&amp;P&amp;RNote: Not to be quoted and not to be published without prior permission</oddFooter>
  </headerFooter>
</worksheet>
</file>

<file path=xl/worksheets/sheet16.xml><?xml version="1.0" encoding="utf-8"?>
<worksheet xmlns="http://schemas.openxmlformats.org/spreadsheetml/2006/main" xmlns:r="http://schemas.openxmlformats.org/officeDocument/2006/relationships">
  <dimension ref="A1:CX33"/>
  <sheetViews>
    <sheetView zoomScalePageLayoutView="0" workbookViewId="0" topLeftCell="A3">
      <selection activeCell="E9" sqref="E9:F9"/>
    </sheetView>
  </sheetViews>
  <sheetFormatPr defaultColWidth="9.140625" defaultRowHeight="15"/>
  <cols>
    <col min="2" max="2" width="33.421875" style="0" customWidth="1"/>
    <col min="3" max="3" width="22.421875" style="0" customWidth="1"/>
    <col min="4" max="4" width="11.421875" style="0" customWidth="1"/>
    <col min="5" max="5" width="11.140625" style="0" customWidth="1"/>
    <col min="6" max="6" width="13.421875" style="0" customWidth="1"/>
    <col min="7" max="7" width="12.00390625" style="0" bestFit="1" customWidth="1"/>
    <col min="9" max="9" width="12.00390625" style="0" bestFit="1" customWidth="1"/>
  </cols>
  <sheetData>
    <row r="1" spans="1:102" ht="23.25">
      <c r="A1" s="1089" t="s">
        <v>1620</v>
      </c>
      <c r="B1" s="1090"/>
      <c r="C1" s="1090"/>
      <c r="D1" s="1090"/>
      <c r="E1" s="1090"/>
      <c r="F1" s="1091"/>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c r="BW1" s="820"/>
      <c r="BX1" s="820"/>
      <c r="BY1" s="820"/>
      <c r="BZ1" s="820"/>
      <c r="CA1" s="820"/>
      <c r="CB1" s="820"/>
      <c r="CC1" s="820"/>
      <c r="CD1" s="820"/>
      <c r="CE1" s="820"/>
      <c r="CF1" s="820"/>
      <c r="CG1" s="820"/>
      <c r="CH1" s="820"/>
      <c r="CI1" s="820"/>
      <c r="CJ1" s="820"/>
      <c r="CK1" s="820"/>
      <c r="CL1" s="820"/>
      <c r="CM1" s="820"/>
      <c r="CN1" s="820"/>
      <c r="CO1" s="820"/>
      <c r="CP1" s="820"/>
      <c r="CQ1" s="820"/>
      <c r="CR1" s="820"/>
      <c r="CS1" s="820"/>
      <c r="CT1" s="820"/>
      <c r="CU1" s="820"/>
      <c r="CV1" s="820"/>
      <c r="CW1" s="820"/>
      <c r="CX1" s="820"/>
    </row>
    <row r="2" spans="1:102" ht="18.75">
      <c r="A2" s="1105" t="str">
        <f>'NF-7 Others'!A2:B2</f>
        <v>Name of the Unit</v>
      </c>
      <c r="B2" s="1094"/>
      <c r="C2" s="1094" t="str">
        <f>'NF-7 Others'!C2:F2</f>
        <v>  </v>
      </c>
      <c r="D2" s="1094"/>
      <c r="E2" s="1094"/>
      <c r="F2" s="1095"/>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820"/>
      <c r="BN2" s="820"/>
      <c r="BO2" s="820"/>
      <c r="BP2" s="820"/>
      <c r="BQ2" s="820"/>
      <c r="BR2" s="820"/>
      <c r="BS2" s="820"/>
      <c r="BT2" s="820"/>
      <c r="BU2" s="820"/>
      <c r="BV2" s="820"/>
      <c r="BW2" s="820"/>
      <c r="BX2" s="820"/>
      <c r="BY2" s="820"/>
      <c r="BZ2" s="820"/>
      <c r="CA2" s="820"/>
      <c r="CB2" s="820"/>
      <c r="CC2" s="820"/>
      <c r="CD2" s="820"/>
      <c r="CE2" s="820"/>
      <c r="CF2" s="820"/>
      <c r="CG2" s="820"/>
      <c r="CH2" s="820"/>
      <c r="CI2" s="820"/>
      <c r="CJ2" s="820"/>
      <c r="CK2" s="820"/>
      <c r="CL2" s="820"/>
      <c r="CM2" s="820"/>
      <c r="CN2" s="820"/>
      <c r="CO2" s="820"/>
      <c r="CP2" s="820"/>
      <c r="CQ2" s="820"/>
      <c r="CR2" s="820"/>
      <c r="CS2" s="820"/>
      <c r="CT2" s="820"/>
      <c r="CU2" s="820"/>
      <c r="CV2" s="820"/>
      <c r="CW2" s="820"/>
      <c r="CX2" s="820"/>
    </row>
    <row r="3" spans="1:102" ht="30.75" customHeight="1">
      <c r="A3" s="1113" t="s">
        <v>826</v>
      </c>
      <c r="B3" s="1102"/>
      <c r="C3" s="384" t="s">
        <v>689</v>
      </c>
      <c r="D3" s="384"/>
      <c r="E3" s="18" t="str">
        <f>'Form-Sb'!F556</f>
        <v>Yes</v>
      </c>
      <c r="F3" s="18" t="str">
        <f>'Form-Sb'!G556</f>
        <v>Yes</v>
      </c>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820"/>
      <c r="AJ3" s="820"/>
      <c r="AK3" s="820"/>
      <c r="AL3" s="820"/>
      <c r="AM3" s="820"/>
      <c r="AN3" s="820"/>
      <c r="AO3" s="820"/>
      <c r="AP3" s="820"/>
      <c r="AQ3" s="820"/>
      <c r="AR3" s="820"/>
      <c r="AS3" s="820"/>
      <c r="AT3" s="820"/>
      <c r="AU3" s="820"/>
      <c r="AV3" s="820"/>
      <c r="AW3" s="820"/>
      <c r="AX3" s="820"/>
      <c r="AY3" s="820"/>
      <c r="AZ3" s="820"/>
      <c r="BA3" s="820"/>
      <c r="BB3" s="820"/>
      <c r="BC3" s="820"/>
      <c r="BD3" s="820"/>
      <c r="BE3" s="820"/>
      <c r="BF3" s="820"/>
      <c r="BG3" s="820"/>
      <c r="BH3" s="820"/>
      <c r="BI3" s="820"/>
      <c r="BJ3" s="820"/>
      <c r="BK3" s="820"/>
      <c r="BL3" s="820"/>
      <c r="BM3" s="820"/>
      <c r="BN3" s="820"/>
      <c r="BO3" s="820"/>
      <c r="BP3" s="820"/>
      <c r="BQ3" s="820"/>
      <c r="BR3" s="820"/>
      <c r="BS3" s="820"/>
      <c r="BT3" s="820"/>
      <c r="BU3" s="820"/>
      <c r="BV3" s="820"/>
      <c r="BW3" s="820"/>
      <c r="BX3" s="820"/>
      <c r="BY3" s="820"/>
      <c r="BZ3" s="820"/>
      <c r="CA3" s="820"/>
      <c r="CB3" s="820"/>
      <c r="CC3" s="820"/>
      <c r="CD3" s="820"/>
      <c r="CE3" s="820"/>
      <c r="CF3" s="820"/>
      <c r="CG3" s="820"/>
      <c r="CH3" s="820"/>
      <c r="CI3" s="820"/>
      <c r="CJ3" s="820"/>
      <c r="CK3" s="820"/>
      <c r="CL3" s="820"/>
      <c r="CM3" s="820"/>
      <c r="CN3" s="820"/>
      <c r="CO3" s="820"/>
      <c r="CP3" s="820"/>
      <c r="CQ3" s="820"/>
      <c r="CR3" s="820"/>
      <c r="CS3" s="820"/>
      <c r="CT3" s="820"/>
      <c r="CU3" s="820"/>
      <c r="CV3" s="820"/>
      <c r="CW3" s="820"/>
      <c r="CX3" s="820"/>
    </row>
    <row r="4" spans="1:102" ht="30">
      <c r="A4" s="824" t="s">
        <v>368</v>
      </c>
      <c r="B4" s="782" t="s">
        <v>388</v>
      </c>
      <c r="C4" s="782" t="s">
        <v>389</v>
      </c>
      <c r="D4" s="782" t="s">
        <v>390</v>
      </c>
      <c r="E4" s="782" t="s">
        <v>1621</v>
      </c>
      <c r="F4" s="825" t="s">
        <v>1622</v>
      </c>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0"/>
      <c r="AX4" s="820"/>
      <c r="AY4" s="820"/>
      <c r="AZ4" s="820"/>
      <c r="BA4" s="820"/>
      <c r="BB4" s="820"/>
      <c r="BC4" s="820"/>
      <c r="BD4" s="820"/>
      <c r="BE4" s="820"/>
      <c r="BF4" s="820"/>
      <c r="BG4" s="820"/>
      <c r="BH4" s="820"/>
      <c r="BI4" s="820"/>
      <c r="BJ4" s="820"/>
      <c r="BK4" s="820"/>
      <c r="BL4" s="820"/>
      <c r="BM4" s="820"/>
      <c r="BN4" s="820"/>
      <c r="BO4" s="820"/>
      <c r="BP4" s="820"/>
      <c r="BQ4" s="820"/>
      <c r="BR4" s="820"/>
      <c r="BS4" s="820"/>
      <c r="BT4" s="820"/>
      <c r="BU4" s="820"/>
      <c r="BV4" s="820"/>
      <c r="BW4" s="820"/>
      <c r="BX4" s="820"/>
      <c r="BY4" s="820"/>
      <c r="BZ4" s="820"/>
      <c r="CA4" s="820"/>
      <c r="CB4" s="820"/>
      <c r="CC4" s="820"/>
      <c r="CD4" s="820"/>
      <c r="CE4" s="820"/>
      <c r="CF4" s="820"/>
      <c r="CG4" s="820"/>
      <c r="CH4" s="820"/>
      <c r="CI4" s="820"/>
      <c r="CJ4" s="820"/>
      <c r="CK4" s="820"/>
      <c r="CL4" s="820"/>
      <c r="CM4" s="820"/>
      <c r="CN4" s="820"/>
      <c r="CO4" s="820"/>
      <c r="CP4" s="820"/>
      <c r="CQ4" s="820"/>
      <c r="CR4" s="820"/>
      <c r="CS4" s="820"/>
      <c r="CT4" s="820"/>
      <c r="CU4" s="820"/>
      <c r="CV4" s="820"/>
      <c r="CW4" s="820"/>
      <c r="CX4" s="820"/>
    </row>
    <row r="5" spans="1:102" ht="31.5" customHeight="1">
      <c r="A5" s="826">
        <v>1</v>
      </c>
      <c r="B5" s="781" t="s">
        <v>430</v>
      </c>
      <c r="C5" s="384" t="s">
        <v>110</v>
      </c>
      <c r="D5" s="384" t="s">
        <v>1623</v>
      </c>
      <c r="E5" s="219" t="e">
        <f>'Form-Sb'!F9</f>
        <v>#DIV/0!</v>
      </c>
      <c r="F5" s="827">
        <f>'Form-Sb'!G9</f>
        <v>0</v>
      </c>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c r="BL5" s="820"/>
      <c r="BM5" s="820"/>
      <c r="BN5" s="820"/>
      <c r="BO5" s="820"/>
      <c r="BP5" s="820"/>
      <c r="BQ5" s="820"/>
      <c r="BR5" s="820"/>
      <c r="BS5" s="820"/>
      <c r="BT5" s="820"/>
      <c r="BU5" s="820"/>
      <c r="BV5" s="820"/>
      <c r="BW5" s="820"/>
      <c r="BX5" s="820"/>
      <c r="BY5" s="820"/>
      <c r="BZ5" s="820"/>
      <c r="CA5" s="820"/>
      <c r="CB5" s="820"/>
      <c r="CC5" s="820"/>
      <c r="CD5" s="820"/>
      <c r="CE5" s="820"/>
      <c r="CF5" s="820"/>
      <c r="CG5" s="820"/>
      <c r="CH5" s="820"/>
      <c r="CI5" s="820"/>
      <c r="CJ5" s="820"/>
      <c r="CK5" s="820"/>
      <c r="CL5" s="820"/>
      <c r="CM5" s="820"/>
      <c r="CN5" s="820"/>
      <c r="CO5" s="820"/>
      <c r="CP5" s="820"/>
      <c r="CQ5" s="820"/>
      <c r="CR5" s="820"/>
      <c r="CS5" s="820"/>
      <c r="CT5" s="820"/>
      <c r="CU5" s="820"/>
      <c r="CV5" s="820"/>
      <c r="CW5" s="820"/>
      <c r="CX5" s="820"/>
    </row>
    <row r="6" spans="1:102" ht="34.5" customHeight="1">
      <c r="A6" s="826">
        <v>2</v>
      </c>
      <c r="B6" s="819" t="s">
        <v>1655</v>
      </c>
      <c r="C6" s="384" t="s">
        <v>110</v>
      </c>
      <c r="D6" s="384" t="s">
        <v>1623</v>
      </c>
      <c r="E6" s="18">
        <f>'Form-Sb'!F45+'Form-Sb'!F59+'Form-Sb'!F73+'Form-Sb'!F87+'Form-Sb'!F101</f>
        <v>0</v>
      </c>
      <c r="F6" s="828">
        <f>'Form-Sb'!G45+'Form-Sb'!G59+'Form-Sb'!G73+'Form-Sb'!G87+'Form-Sb'!G101</f>
        <v>0</v>
      </c>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0"/>
      <c r="AZ6" s="820"/>
      <c r="BA6" s="820"/>
      <c r="BB6" s="820"/>
      <c r="BC6" s="820"/>
      <c r="BD6" s="820"/>
      <c r="BE6" s="820"/>
      <c r="BF6" s="820"/>
      <c r="BG6" s="820"/>
      <c r="BH6" s="820"/>
      <c r="BI6" s="820"/>
      <c r="BJ6" s="820"/>
      <c r="BK6" s="820"/>
      <c r="BL6" s="820"/>
      <c r="BM6" s="820"/>
      <c r="BN6" s="820"/>
      <c r="BO6" s="820"/>
      <c r="BP6" s="820"/>
      <c r="BQ6" s="820"/>
      <c r="BR6" s="820"/>
      <c r="BS6" s="820"/>
      <c r="BT6" s="820"/>
      <c r="BU6" s="820"/>
      <c r="BV6" s="820"/>
      <c r="BW6" s="820"/>
      <c r="BX6" s="820"/>
      <c r="BY6" s="820"/>
      <c r="BZ6" s="820"/>
      <c r="CA6" s="820"/>
      <c r="CB6" s="820"/>
      <c r="CC6" s="820"/>
      <c r="CD6" s="820"/>
      <c r="CE6" s="820"/>
      <c r="CF6" s="820"/>
      <c r="CG6" s="820"/>
      <c r="CH6" s="820"/>
      <c r="CI6" s="820"/>
      <c r="CJ6" s="820"/>
      <c r="CK6" s="820"/>
      <c r="CL6" s="820"/>
      <c r="CM6" s="820"/>
      <c r="CN6" s="820"/>
      <c r="CO6" s="820"/>
      <c r="CP6" s="820"/>
      <c r="CQ6" s="820"/>
      <c r="CR6" s="820"/>
      <c r="CS6" s="820"/>
      <c r="CT6" s="820"/>
      <c r="CU6" s="820"/>
      <c r="CV6" s="820"/>
      <c r="CW6" s="820"/>
      <c r="CX6" s="820"/>
    </row>
    <row r="7" spans="1:102" ht="34.5" customHeight="1">
      <c r="A7" s="826">
        <v>3</v>
      </c>
      <c r="B7" s="781" t="s">
        <v>1624</v>
      </c>
      <c r="C7" s="384" t="s">
        <v>110</v>
      </c>
      <c r="D7" s="832" t="s">
        <v>507</v>
      </c>
      <c r="E7" s="219">
        <f>'Form-Sb'!F513</f>
        <v>0</v>
      </c>
      <c r="F7" s="827">
        <f>'Form-Sb'!G513</f>
        <v>0</v>
      </c>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AQ7" s="820"/>
      <c r="AR7" s="820"/>
      <c r="AS7" s="820"/>
      <c r="AT7" s="820"/>
      <c r="AU7" s="820"/>
      <c r="AV7" s="820"/>
      <c r="AW7" s="820"/>
      <c r="AX7" s="820"/>
      <c r="AY7" s="820"/>
      <c r="AZ7" s="820"/>
      <c r="BA7" s="820"/>
      <c r="BB7" s="820"/>
      <c r="BC7" s="820"/>
      <c r="BD7" s="820"/>
      <c r="BE7" s="820"/>
      <c r="BF7" s="820"/>
      <c r="BG7" s="820"/>
      <c r="BH7" s="820"/>
      <c r="BI7" s="820"/>
      <c r="BJ7" s="820"/>
      <c r="BK7" s="820"/>
      <c r="BL7" s="820"/>
      <c r="BM7" s="820"/>
      <c r="BN7" s="820"/>
      <c r="BO7" s="820"/>
      <c r="BP7" s="820"/>
      <c r="BQ7" s="820"/>
      <c r="BR7" s="820"/>
      <c r="BS7" s="820"/>
      <c r="BT7" s="820"/>
      <c r="BU7" s="820"/>
      <c r="BV7" s="820"/>
      <c r="BW7" s="820"/>
      <c r="BX7" s="820"/>
      <c r="BY7" s="820"/>
      <c r="BZ7" s="820"/>
      <c r="CA7" s="820"/>
      <c r="CB7" s="820"/>
      <c r="CC7" s="820"/>
      <c r="CD7" s="820"/>
      <c r="CE7" s="820"/>
      <c r="CF7" s="820"/>
      <c r="CG7" s="820"/>
      <c r="CH7" s="820"/>
      <c r="CI7" s="820"/>
      <c r="CJ7" s="820"/>
      <c r="CK7" s="820"/>
      <c r="CL7" s="820"/>
      <c r="CM7" s="820"/>
      <c r="CN7" s="820"/>
      <c r="CO7" s="820"/>
      <c r="CP7" s="820"/>
      <c r="CQ7" s="820"/>
      <c r="CR7" s="820"/>
      <c r="CS7" s="820"/>
      <c r="CT7" s="820"/>
      <c r="CU7" s="820"/>
      <c r="CV7" s="820"/>
      <c r="CW7" s="820"/>
      <c r="CX7" s="820"/>
    </row>
    <row r="8" spans="1:102" ht="36" customHeight="1">
      <c r="A8" s="826">
        <v>4</v>
      </c>
      <c r="B8" s="819" t="s">
        <v>1648</v>
      </c>
      <c r="C8" s="384" t="s">
        <v>110</v>
      </c>
      <c r="D8" s="818" t="s">
        <v>433</v>
      </c>
      <c r="E8" s="219" t="e">
        <f>('Form-Sb'!E46*'Form-Sb'!E45+'Form-Sb'!E60*'Form-Sb'!E59+'Form-Sb'!E74*'Form-Sb'!E73+'Form-Sb'!E88*'Form-Sb'!E87+'Form-Sb'!E102*'Form-Sb'!E101)/('Form-Sb'!E45+'Form-Sb'!E59+'Form-Sb'!E73+'Form-Sb'!E87+'Form-Sb'!E101)</f>
        <v>#DIV/0!</v>
      </c>
      <c r="F8" s="827" t="e">
        <f>('Form-Sb'!G46*'Form-Sb'!G45+'Form-Sb'!G60*'Form-Sb'!G59+'Form-Sb'!G74*'Form-Sb'!G73+'Form-Sb'!G88*'Form-Sb'!G87+'Form-Sb'!G102*'Form-Sb'!G101)/('Form-Sb'!G45+'Form-Sb'!G59+'Form-Sb'!G73+'Form-Sb'!G87+'Form-Sb'!G101)</f>
        <v>#DIV/0!</v>
      </c>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20"/>
      <c r="AY8" s="820"/>
      <c r="AZ8" s="820"/>
      <c r="BA8" s="820"/>
      <c r="BB8" s="820"/>
      <c r="BC8" s="820"/>
      <c r="BD8" s="820"/>
      <c r="BE8" s="820"/>
      <c r="BF8" s="820"/>
      <c r="BG8" s="820"/>
      <c r="BH8" s="820"/>
      <c r="BI8" s="820"/>
      <c r="BJ8" s="820"/>
      <c r="BK8" s="820"/>
      <c r="BL8" s="820"/>
      <c r="BM8" s="820"/>
      <c r="BN8" s="820"/>
      <c r="BO8" s="820"/>
      <c r="BP8" s="820"/>
      <c r="BQ8" s="820"/>
      <c r="BR8" s="820"/>
      <c r="BS8" s="820"/>
      <c r="BT8" s="820"/>
      <c r="BU8" s="820"/>
      <c r="BV8" s="820"/>
      <c r="BW8" s="820"/>
      <c r="BX8" s="820"/>
      <c r="BY8" s="820"/>
      <c r="BZ8" s="820"/>
      <c r="CA8" s="820"/>
      <c r="CB8" s="820"/>
      <c r="CC8" s="820"/>
      <c r="CD8" s="820"/>
      <c r="CE8" s="820"/>
      <c r="CF8" s="820"/>
      <c r="CG8" s="820"/>
      <c r="CH8" s="820"/>
      <c r="CI8" s="820"/>
      <c r="CJ8" s="820"/>
      <c r="CK8" s="820"/>
      <c r="CL8" s="820"/>
      <c r="CM8" s="820"/>
      <c r="CN8" s="820"/>
      <c r="CO8" s="820"/>
      <c r="CP8" s="820"/>
      <c r="CQ8" s="820"/>
      <c r="CR8" s="820"/>
      <c r="CS8" s="820"/>
      <c r="CT8" s="820"/>
      <c r="CU8" s="820"/>
      <c r="CV8" s="820"/>
      <c r="CW8" s="820"/>
      <c r="CX8" s="820"/>
    </row>
    <row r="9" spans="1:102" ht="60" customHeight="1">
      <c r="A9" s="826">
        <v>5</v>
      </c>
      <c r="B9" s="19" t="s">
        <v>1625</v>
      </c>
      <c r="C9" s="817" t="s">
        <v>1626</v>
      </c>
      <c r="D9" s="384" t="s">
        <v>1627</v>
      </c>
      <c r="E9" s="1109" t="e">
        <f>IF(E7=F7,0,(0.8426*((F7-E7)/E7))+0.0344)*F8</f>
        <v>#DIV/0!</v>
      </c>
      <c r="F9" s="1110"/>
      <c r="G9" s="820"/>
      <c r="H9" s="821"/>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820"/>
      <c r="AJ9" s="820"/>
      <c r="AK9" s="820"/>
      <c r="AL9" s="820"/>
      <c r="AM9" s="820"/>
      <c r="AN9" s="820"/>
      <c r="AO9" s="820"/>
      <c r="AP9" s="820"/>
      <c r="AQ9" s="820"/>
      <c r="AR9" s="820"/>
      <c r="AS9" s="820"/>
      <c r="AT9" s="820"/>
      <c r="AU9" s="820"/>
      <c r="AV9" s="820"/>
      <c r="AW9" s="820"/>
      <c r="AX9" s="820"/>
      <c r="AY9" s="820"/>
      <c r="AZ9" s="820"/>
      <c r="BA9" s="820"/>
      <c r="BB9" s="820"/>
      <c r="BC9" s="820"/>
      <c r="BD9" s="820"/>
      <c r="BE9" s="820"/>
      <c r="BF9" s="820"/>
      <c r="BG9" s="820"/>
      <c r="BH9" s="820"/>
      <c r="BI9" s="820"/>
      <c r="BJ9" s="820"/>
      <c r="BK9" s="820"/>
      <c r="BL9" s="820"/>
      <c r="BM9" s="820"/>
      <c r="BN9" s="820"/>
      <c r="BO9" s="820"/>
      <c r="BP9" s="820"/>
      <c r="BQ9" s="820"/>
      <c r="BR9" s="820"/>
      <c r="BS9" s="820"/>
      <c r="BT9" s="820"/>
      <c r="BU9" s="820"/>
      <c r="BV9" s="820"/>
      <c r="BW9" s="820"/>
      <c r="BX9" s="820"/>
      <c r="BY9" s="820"/>
      <c r="BZ9" s="820"/>
      <c r="CA9" s="820"/>
      <c r="CB9" s="820"/>
      <c r="CC9" s="820"/>
      <c r="CD9" s="820"/>
      <c r="CE9" s="820"/>
      <c r="CF9" s="820"/>
      <c r="CG9" s="820"/>
      <c r="CH9" s="820"/>
      <c r="CI9" s="820"/>
      <c r="CJ9" s="820"/>
      <c r="CK9" s="820"/>
      <c r="CL9" s="820"/>
      <c r="CM9" s="820"/>
      <c r="CN9" s="820"/>
      <c r="CO9" s="820"/>
      <c r="CP9" s="820"/>
      <c r="CQ9" s="820"/>
      <c r="CR9" s="820"/>
      <c r="CS9" s="820"/>
      <c r="CT9" s="820"/>
      <c r="CU9" s="820"/>
      <c r="CV9" s="820"/>
      <c r="CW9" s="820"/>
      <c r="CX9" s="820"/>
    </row>
    <row r="10" spans="1:102" ht="60" customHeight="1">
      <c r="A10" s="826">
        <v>6</v>
      </c>
      <c r="B10" s="273" t="s">
        <v>393</v>
      </c>
      <c r="C10" s="373" t="s">
        <v>1408</v>
      </c>
      <c r="D10" s="373" t="s">
        <v>742</v>
      </c>
      <c r="E10" s="18">
        <f>'Base line Parameters'!E58</f>
        <v>0</v>
      </c>
      <c r="F10" s="828">
        <f>'Base line Parameters'!F58</f>
        <v>0</v>
      </c>
      <c r="G10" s="820"/>
      <c r="H10" s="821"/>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0"/>
      <c r="AY10" s="820"/>
      <c r="AZ10" s="820"/>
      <c r="BA10" s="820"/>
      <c r="BB10" s="820"/>
      <c r="BC10" s="820"/>
      <c r="BD10" s="820"/>
      <c r="BE10" s="820"/>
      <c r="BF10" s="820"/>
      <c r="BG10" s="820"/>
      <c r="BH10" s="820"/>
      <c r="BI10" s="820"/>
      <c r="BJ10" s="820"/>
      <c r="BK10" s="820"/>
      <c r="BL10" s="820"/>
      <c r="BM10" s="820"/>
      <c r="BN10" s="820"/>
      <c r="BO10" s="820"/>
      <c r="BP10" s="820"/>
      <c r="BQ10" s="820"/>
      <c r="BR10" s="820"/>
      <c r="BS10" s="820"/>
      <c r="BT10" s="820"/>
      <c r="BU10" s="820"/>
      <c r="BV10" s="820"/>
      <c r="BW10" s="820"/>
      <c r="BX10" s="820"/>
      <c r="BY10" s="820"/>
      <c r="BZ10" s="820"/>
      <c r="CA10" s="820"/>
      <c r="CB10" s="820"/>
      <c r="CC10" s="820"/>
      <c r="CD10" s="820"/>
      <c r="CE10" s="820"/>
      <c r="CF10" s="820"/>
      <c r="CG10" s="820"/>
      <c r="CH10" s="820"/>
      <c r="CI10" s="820"/>
      <c r="CJ10" s="820"/>
      <c r="CK10" s="820"/>
      <c r="CL10" s="820"/>
      <c r="CM10" s="820"/>
      <c r="CN10" s="820"/>
      <c r="CO10" s="820"/>
      <c r="CP10" s="820"/>
      <c r="CQ10" s="820"/>
      <c r="CR10" s="820"/>
      <c r="CS10" s="820"/>
      <c r="CT10" s="820"/>
      <c r="CU10" s="820"/>
      <c r="CV10" s="820"/>
      <c r="CW10" s="820"/>
      <c r="CX10" s="820"/>
    </row>
    <row r="11" spans="1:102" ht="46.5" customHeight="1" thickBot="1">
      <c r="A11" s="829">
        <v>7</v>
      </c>
      <c r="B11" s="830" t="s">
        <v>1628</v>
      </c>
      <c r="C11" s="831" t="s">
        <v>1629</v>
      </c>
      <c r="D11" s="830" t="s">
        <v>231</v>
      </c>
      <c r="E11" s="1111" t="e">
        <f>IF(AND(E3="yes",F3="yes"),(E9*F6*'NF-8 Bond Index'!F10)/10^6,0)</f>
        <v>#DIV/0!</v>
      </c>
      <c r="F11" s="1112"/>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c r="AI11" s="820"/>
      <c r="AJ11" s="820"/>
      <c r="AK11" s="820"/>
      <c r="AL11" s="820"/>
      <c r="AM11" s="820"/>
      <c r="AN11" s="820"/>
      <c r="AO11" s="820"/>
      <c r="AP11" s="820"/>
      <c r="AQ11" s="820"/>
      <c r="AR11" s="820"/>
      <c r="AS11" s="820"/>
      <c r="AT11" s="820"/>
      <c r="AU11" s="820"/>
      <c r="AV11" s="820"/>
      <c r="AW11" s="820"/>
      <c r="AX11" s="820"/>
      <c r="AY11" s="820"/>
      <c r="AZ11" s="820"/>
      <c r="BA11" s="820"/>
      <c r="BB11" s="820"/>
      <c r="BC11" s="820"/>
      <c r="BD11" s="820"/>
      <c r="BE11" s="820"/>
      <c r="BF11" s="820"/>
      <c r="BG11" s="820"/>
      <c r="BH11" s="820"/>
      <c r="BI11" s="820"/>
      <c r="BJ11" s="820"/>
      <c r="BK11" s="820"/>
      <c r="BL11" s="820"/>
      <c r="BM11" s="820"/>
      <c r="BN11" s="820"/>
      <c r="BO11" s="820"/>
      <c r="BP11" s="820"/>
      <c r="BQ11" s="820"/>
      <c r="BR11" s="820"/>
      <c r="BS11" s="820"/>
      <c r="BT11" s="820"/>
      <c r="BU11" s="820"/>
      <c r="BV11" s="820"/>
      <c r="BW11" s="820"/>
      <c r="BX11" s="820"/>
      <c r="BY11" s="820"/>
      <c r="BZ11" s="820"/>
      <c r="CA11" s="820"/>
      <c r="CB11" s="820"/>
      <c r="CC11" s="820"/>
      <c r="CD11" s="820"/>
      <c r="CE11" s="820"/>
      <c r="CF11" s="820"/>
      <c r="CG11" s="820"/>
      <c r="CH11" s="820"/>
      <c r="CI11" s="820"/>
      <c r="CJ11" s="820"/>
      <c r="CK11" s="820"/>
      <c r="CL11" s="820"/>
      <c r="CM11" s="820"/>
      <c r="CN11" s="820"/>
      <c r="CO11" s="820"/>
      <c r="CP11" s="820"/>
      <c r="CQ11" s="820"/>
      <c r="CR11" s="820"/>
      <c r="CS11" s="820"/>
      <c r="CT11" s="820"/>
      <c r="CU11" s="820"/>
      <c r="CV11" s="820"/>
      <c r="CW11" s="820"/>
      <c r="CX11" s="820"/>
    </row>
    <row r="12" spans="7:102" ht="46.5" customHeight="1">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20"/>
      <c r="AS12" s="820"/>
      <c r="AT12" s="820"/>
      <c r="AU12" s="820"/>
      <c r="AV12" s="820"/>
      <c r="AW12" s="820"/>
      <c r="AX12" s="820"/>
      <c r="AY12" s="820"/>
      <c r="AZ12" s="820"/>
      <c r="BA12" s="820"/>
      <c r="BB12" s="820"/>
      <c r="BC12" s="820"/>
      <c r="BD12" s="820"/>
      <c r="BE12" s="820"/>
      <c r="BF12" s="820"/>
      <c r="BG12" s="820"/>
      <c r="BH12" s="820"/>
      <c r="BI12" s="820"/>
      <c r="BJ12" s="820"/>
      <c r="BK12" s="820"/>
      <c r="BL12" s="820"/>
      <c r="BM12" s="820"/>
      <c r="BN12" s="820"/>
      <c r="BO12" s="820"/>
      <c r="BP12" s="820"/>
      <c r="BQ12" s="820"/>
      <c r="BR12" s="820"/>
      <c r="BS12" s="820"/>
      <c r="BT12" s="820"/>
      <c r="BU12" s="820"/>
      <c r="BV12" s="820"/>
      <c r="BW12" s="820"/>
      <c r="BX12" s="820"/>
      <c r="BY12" s="820"/>
      <c r="BZ12" s="820"/>
      <c r="CA12" s="820"/>
      <c r="CB12" s="820"/>
      <c r="CC12" s="820"/>
      <c r="CD12" s="820"/>
      <c r="CE12" s="820"/>
      <c r="CF12" s="820"/>
      <c r="CG12" s="820"/>
      <c r="CH12" s="820"/>
      <c r="CI12" s="820"/>
      <c r="CJ12" s="820"/>
      <c r="CK12" s="820"/>
      <c r="CL12" s="820"/>
      <c r="CM12" s="820"/>
      <c r="CN12" s="820"/>
      <c r="CO12" s="820"/>
      <c r="CP12" s="820"/>
      <c r="CQ12" s="820"/>
      <c r="CR12" s="820"/>
      <c r="CS12" s="820"/>
      <c r="CT12" s="820"/>
      <c r="CU12" s="820"/>
      <c r="CV12" s="820"/>
      <c r="CW12" s="820"/>
      <c r="CX12" s="820"/>
    </row>
    <row r="13" spans="7:15" ht="15">
      <c r="G13" s="820"/>
      <c r="H13" s="820"/>
      <c r="I13" s="820"/>
      <c r="J13" s="820"/>
      <c r="K13" s="820"/>
      <c r="L13" s="820"/>
      <c r="M13" s="820"/>
      <c r="N13" s="820"/>
      <c r="O13" s="820"/>
    </row>
    <row r="14" spans="7:15" ht="15">
      <c r="G14" s="820"/>
      <c r="H14" s="820"/>
      <c r="I14" s="820"/>
      <c r="J14" s="820"/>
      <c r="K14" s="820"/>
      <c r="L14" s="820"/>
      <c r="M14" s="820"/>
      <c r="N14" s="820"/>
      <c r="O14" s="820"/>
    </row>
    <row r="15" spans="7:15" ht="15">
      <c r="G15" s="820"/>
      <c r="H15" s="820"/>
      <c r="I15" s="820"/>
      <c r="J15" s="820"/>
      <c r="K15" s="820"/>
      <c r="L15" s="820"/>
      <c r="M15" s="820"/>
      <c r="N15" s="820"/>
      <c r="O15" s="820"/>
    </row>
    <row r="16" spans="7:15" ht="15">
      <c r="G16" s="820"/>
      <c r="H16" s="820"/>
      <c r="I16" s="820"/>
      <c r="J16" s="820"/>
      <c r="K16" s="820"/>
      <c r="L16" s="820"/>
      <c r="M16" s="820"/>
      <c r="N16" s="820"/>
      <c r="O16" s="820"/>
    </row>
    <row r="17" spans="7:15" ht="15">
      <c r="G17" s="820"/>
      <c r="H17" s="820"/>
      <c r="I17" s="820"/>
      <c r="J17" s="820"/>
      <c r="K17" s="820"/>
      <c r="L17" s="820"/>
      <c r="M17" s="820"/>
      <c r="N17" s="820"/>
      <c r="O17" s="820"/>
    </row>
    <row r="18" spans="7:15" ht="15">
      <c r="G18" s="820"/>
      <c r="H18" s="820"/>
      <c r="I18" s="820"/>
      <c r="J18" s="820"/>
      <c r="K18" s="820"/>
      <c r="L18" s="820"/>
      <c r="M18" s="820"/>
      <c r="N18" s="820"/>
      <c r="O18" s="820"/>
    </row>
    <row r="19" spans="7:15" ht="15">
      <c r="G19" s="820"/>
      <c r="H19" s="820"/>
      <c r="I19" s="820"/>
      <c r="J19" s="820"/>
      <c r="K19" s="820"/>
      <c r="L19" s="820"/>
      <c r="M19" s="820"/>
      <c r="N19" s="820"/>
      <c r="O19" s="820"/>
    </row>
    <row r="20" spans="7:15" ht="15">
      <c r="G20" s="820"/>
      <c r="H20" s="820"/>
      <c r="I20" s="820"/>
      <c r="J20" s="820"/>
      <c r="K20" s="820"/>
      <c r="L20" s="820"/>
      <c r="M20" s="820"/>
      <c r="N20" s="820"/>
      <c r="O20" s="820"/>
    </row>
    <row r="21" spans="1:15" ht="15">
      <c r="A21" s="820"/>
      <c r="B21" s="820"/>
      <c r="C21" s="820"/>
      <c r="D21" s="820"/>
      <c r="E21" s="820"/>
      <c r="F21" s="820"/>
      <c r="G21" s="820"/>
      <c r="H21" s="820"/>
      <c r="I21" s="820"/>
      <c r="J21" s="820"/>
      <c r="K21" s="820"/>
      <c r="L21" s="820"/>
      <c r="M21" s="820"/>
      <c r="N21" s="820"/>
      <c r="O21" s="820"/>
    </row>
    <row r="22" spans="1:15" ht="15">
      <c r="A22" s="820"/>
      <c r="B22" s="820"/>
      <c r="C22" s="820"/>
      <c r="D22" s="820"/>
      <c r="E22" s="820"/>
      <c r="F22" s="820"/>
      <c r="G22" s="820"/>
      <c r="H22" s="820"/>
      <c r="I22" s="820"/>
      <c r="J22" s="820"/>
      <c r="K22" s="820"/>
      <c r="L22" s="820"/>
      <c r="M22" s="820"/>
      <c r="N22" s="820"/>
      <c r="O22" s="820"/>
    </row>
    <row r="23" spans="1:15" ht="15">
      <c r="A23" s="820"/>
      <c r="B23" s="820"/>
      <c r="C23" s="820"/>
      <c r="D23" s="820"/>
      <c r="E23" s="820"/>
      <c r="F23" s="820"/>
      <c r="G23" s="820"/>
      <c r="H23" s="820"/>
      <c r="I23" s="820"/>
      <c r="J23" s="820"/>
      <c r="K23" s="820"/>
      <c r="L23" s="820"/>
      <c r="M23" s="820"/>
      <c r="N23" s="820"/>
      <c r="O23" s="820"/>
    </row>
    <row r="24" spans="1:15" ht="15">
      <c r="A24" s="820"/>
      <c r="B24" s="820"/>
      <c r="C24" s="820"/>
      <c r="D24" s="820"/>
      <c r="E24" s="820"/>
      <c r="F24" s="820"/>
      <c r="G24" s="820"/>
      <c r="H24" s="820"/>
      <c r="I24" s="820"/>
      <c r="J24" s="820"/>
      <c r="K24" s="820"/>
      <c r="L24" s="820"/>
      <c r="M24" s="820"/>
      <c r="N24" s="820"/>
      <c r="O24" s="820"/>
    </row>
    <row r="25" spans="1:15" ht="15">
      <c r="A25" s="820"/>
      <c r="B25" s="820"/>
      <c r="C25" s="820"/>
      <c r="D25" s="820"/>
      <c r="E25" s="820"/>
      <c r="F25" s="820"/>
      <c r="G25" s="820"/>
      <c r="H25" s="820"/>
      <c r="I25" s="820"/>
      <c r="J25" s="820"/>
      <c r="K25" s="820"/>
      <c r="L25" s="820"/>
      <c r="M25" s="820"/>
      <c r="N25" s="820"/>
      <c r="O25" s="820"/>
    </row>
    <row r="26" spans="1:15" ht="15">
      <c r="A26" s="820"/>
      <c r="B26" s="820"/>
      <c r="C26" s="820"/>
      <c r="D26" s="820"/>
      <c r="E26" s="820"/>
      <c r="F26" s="820"/>
      <c r="G26" s="820"/>
      <c r="H26" s="820"/>
      <c r="I26" s="820"/>
      <c r="J26" s="820"/>
      <c r="K26" s="820"/>
      <c r="L26" s="820"/>
      <c r="M26" s="820"/>
      <c r="N26" s="820"/>
      <c r="O26" s="820"/>
    </row>
    <row r="27" spans="1:15" ht="15">
      <c r="A27" s="820"/>
      <c r="B27" s="820"/>
      <c r="C27" s="820"/>
      <c r="D27" s="820"/>
      <c r="E27" s="820"/>
      <c r="F27" s="820"/>
      <c r="G27" s="820"/>
      <c r="H27" s="820"/>
      <c r="I27" s="820"/>
      <c r="J27" s="820"/>
      <c r="K27" s="820"/>
      <c r="L27" s="820"/>
      <c r="M27" s="820"/>
      <c r="N27" s="820"/>
      <c r="O27" s="820"/>
    </row>
    <row r="28" spans="1:15" ht="15">
      <c r="A28" s="820"/>
      <c r="B28" s="820"/>
      <c r="C28" s="820"/>
      <c r="D28" s="820"/>
      <c r="E28" s="820"/>
      <c r="F28" s="820"/>
      <c r="G28" s="820"/>
      <c r="H28" s="820"/>
      <c r="I28" s="820"/>
      <c r="J28" s="820"/>
      <c r="K28" s="820"/>
      <c r="L28" s="820"/>
      <c r="M28" s="820"/>
      <c r="N28" s="820"/>
      <c r="O28" s="820"/>
    </row>
    <row r="29" spans="1:15" ht="15">
      <c r="A29" s="820"/>
      <c r="B29" s="820"/>
      <c r="C29" s="820"/>
      <c r="D29" s="820"/>
      <c r="E29" s="820"/>
      <c r="F29" s="820"/>
      <c r="G29" s="820"/>
      <c r="H29" s="820"/>
      <c r="I29" s="820"/>
      <c r="J29" s="820"/>
      <c r="K29" s="820"/>
      <c r="L29" s="820"/>
      <c r="M29" s="820"/>
      <c r="N29" s="820"/>
      <c r="O29" s="820"/>
    </row>
    <row r="30" spans="1:15" ht="15">
      <c r="A30" s="820"/>
      <c r="B30" s="820"/>
      <c r="C30" s="820"/>
      <c r="D30" s="820"/>
      <c r="E30" s="820"/>
      <c r="F30" s="820"/>
      <c r="G30" s="820"/>
      <c r="H30" s="820"/>
      <c r="I30" s="820"/>
      <c r="J30" s="820"/>
      <c r="K30" s="820"/>
      <c r="L30" s="820"/>
      <c r="M30" s="820"/>
      <c r="N30" s="820"/>
      <c r="O30" s="820"/>
    </row>
    <row r="31" spans="1:15" ht="15">
      <c r="A31" s="820"/>
      <c r="B31" s="820"/>
      <c r="C31" s="820"/>
      <c r="D31" s="820"/>
      <c r="E31" s="820"/>
      <c r="F31" s="820"/>
      <c r="G31" s="820"/>
      <c r="H31" s="820"/>
      <c r="I31" s="820"/>
      <c r="J31" s="820"/>
      <c r="K31" s="820"/>
      <c r="L31" s="820"/>
      <c r="M31" s="820"/>
      <c r="N31" s="820"/>
      <c r="O31" s="820"/>
    </row>
    <row r="32" spans="1:15" ht="15">
      <c r="A32" s="820"/>
      <c r="B32" s="820"/>
      <c r="C32" s="820"/>
      <c r="D32" s="820"/>
      <c r="E32" s="820"/>
      <c r="F32" s="820"/>
      <c r="G32" s="820"/>
      <c r="H32" s="820"/>
      <c r="I32" s="820"/>
      <c r="J32" s="820"/>
      <c r="K32" s="820"/>
      <c r="L32" s="820"/>
      <c r="M32" s="820"/>
      <c r="N32" s="820"/>
      <c r="O32" s="820"/>
    </row>
    <row r="33" spans="1:15" ht="15">
      <c r="A33" s="820"/>
      <c r="B33" s="820"/>
      <c r="C33" s="820"/>
      <c r="D33" s="820"/>
      <c r="E33" s="820"/>
      <c r="F33" s="820"/>
      <c r="G33" s="820"/>
      <c r="H33" s="820"/>
      <c r="I33" s="820"/>
      <c r="J33" s="820"/>
      <c r="K33" s="820"/>
      <c r="L33" s="820"/>
      <c r="M33" s="820"/>
      <c r="N33" s="820"/>
      <c r="O33" s="820"/>
    </row>
  </sheetData>
  <sheetProtection password="997B" sheet="1"/>
  <mergeCells count="6">
    <mergeCell ref="A1:F1"/>
    <mergeCell ref="E9:F9"/>
    <mergeCell ref="E11:F11"/>
    <mergeCell ref="A3:B3"/>
    <mergeCell ref="A2:B2"/>
    <mergeCell ref="C2:F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79"/>
  <sheetViews>
    <sheetView zoomScale="90" zoomScaleNormal="90" zoomScalePageLayoutView="0" workbookViewId="0" topLeftCell="A21">
      <selection activeCell="B18" sqref="B18"/>
    </sheetView>
  </sheetViews>
  <sheetFormatPr defaultColWidth="9.140625" defaultRowHeight="15"/>
  <cols>
    <col min="2" max="2" width="63.7109375" style="0" customWidth="1"/>
    <col min="3" max="3" width="20.28125" style="0" customWidth="1"/>
    <col min="4" max="5" width="18.421875" style="0" customWidth="1"/>
  </cols>
  <sheetData>
    <row r="1" spans="1:5" ht="15">
      <c r="A1" s="937" t="s">
        <v>1265</v>
      </c>
      <c r="B1" s="937"/>
      <c r="C1" s="937"/>
      <c r="D1" s="937"/>
      <c r="E1" s="937"/>
    </row>
    <row r="2" spans="1:5" ht="15">
      <c r="A2" s="937" t="s">
        <v>1482</v>
      </c>
      <c r="B2" s="937"/>
      <c r="C2" s="937"/>
      <c r="D2" s="937"/>
      <c r="E2" s="937"/>
    </row>
    <row r="3" spans="1:5" ht="15">
      <c r="A3" s="700" t="s">
        <v>1266</v>
      </c>
      <c r="B3" s="701" t="s">
        <v>1267</v>
      </c>
      <c r="C3" s="938" t="s">
        <v>388</v>
      </c>
      <c r="D3" s="938"/>
      <c r="E3" s="938"/>
    </row>
    <row r="4" spans="1:5" ht="15">
      <c r="A4" s="693">
        <v>1</v>
      </c>
      <c r="B4" s="694" t="s">
        <v>120</v>
      </c>
      <c r="C4" s="934">
        <f>'General Information'!C3:G3</f>
        <v>0</v>
      </c>
      <c r="D4" s="934"/>
      <c r="E4" s="934"/>
    </row>
    <row r="5" spans="1:5" ht="15">
      <c r="A5" s="948">
        <v>2</v>
      </c>
      <c r="B5" s="694" t="s">
        <v>1483</v>
      </c>
      <c r="C5" s="934">
        <f>'General Information'!C4:G4</f>
        <v>0</v>
      </c>
      <c r="D5" s="934"/>
      <c r="E5" s="934"/>
    </row>
    <row r="6" spans="1:5" ht="15">
      <c r="A6" s="949"/>
      <c r="B6" s="694" t="s">
        <v>1587</v>
      </c>
      <c r="C6" s="934">
        <f>'General Information'!C5</f>
        <v>0</v>
      </c>
      <c r="D6" s="934"/>
      <c r="E6" s="934"/>
    </row>
    <row r="7" spans="1:5" ht="14.25" customHeight="1">
      <c r="A7" s="951">
        <v>3</v>
      </c>
      <c r="B7" s="936" t="s">
        <v>1268</v>
      </c>
      <c r="C7" s="929" t="s">
        <v>1269</v>
      </c>
      <c r="D7" s="930"/>
      <c r="E7" s="694" t="s">
        <v>1270</v>
      </c>
    </row>
    <row r="8" spans="1:5" ht="14.25" customHeight="1">
      <c r="A8" s="951"/>
      <c r="B8" s="936"/>
      <c r="C8" s="929" t="str">
        <f>'General Information'!A2</f>
        <v>Sector :-  Cement Sector</v>
      </c>
      <c r="D8" s="930"/>
      <c r="E8" s="693" t="str">
        <f>'General Information'!F6</f>
        <v>PPC</v>
      </c>
    </row>
    <row r="9" spans="1:5" ht="69" customHeight="1">
      <c r="A9" s="693" t="s">
        <v>1271</v>
      </c>
      <c r="B9" s="694" t="s">
        <v>1272</v>
      </c>
      <c r="C9" s="929" t="str">
        <f>'General Information'!C8&amp;", "&amp;'General Information'!C9&amp;", "&amp;'General Information'!C10&amp;", "&amp;'General Information'!C11&amp;"- "&amp;'General Information'!F11&amp;", "&amp;'General Information'!B12&amp;"- "&amp;'General Information'!C12&amp;", "&amp;'General Information'!E12&amp;"- "&amp;'General Information'!F12&amp;", "&amp;'General Information'!C13&amp;", "&amp;'General Information'!C14&amp;", "&amp;'General Information'!B15&amp;"- "&amp;'General Information'!C15&amp;", "&amp;'General Information'!E15&amp;"- "&amp;'General Information'!F15&amp;", "&amp;'General Information'!B16&amp;"-"&amp;'General Information'!C16&amp;", "&amp;'General Information'!D16&amp;"- "&amp;'General Information'!E16</f>
        <v>, , , - Pin, Telephone- , Fax- , , , Telephone with STD Code- , Fax- , Mobile-, E-mail- </v>
      </c>
      <c r="D9" s="943"/>
      <c r="E9" s="930"/>
    </row>
    <row r="10" spans="1:5" ht="69" customHeight="1">
      <c r="A10" s="693" t="s">
        <v>44</v>
      </c>
      <c r="B10" s="695" t="s">
        <v>1273</v>
      </c>
      <c r="C10" s="929" t="str">
        <f>'General Information'!B18&amp;":"&amp;'General Information'!C18:F18&amp;","&amp;'General Information'!B19&amp;":"&amp;'General Information'!C19:F19&amp;","&amp;'General Information'!B20&amp;":"&amp;'General Information'!C20:F20&amp;","&amp;'General Information'!B21&amp;"-"&amp;'General Information'!C21:D21&amp;","&amp;'General Information'!E21&amp;"-"&amp;'General Information'!F21&amp;", "&amp;'General Information'!B22&amp;"-"&amp;'General Information'!C22:D22&amp;","&amp;'General Information'!B23&amp;"-"&amp;'General Information'!C23:D23&amp;","&amp;'General Information'!E23&amp;"-"&amp;'General Information'!F23&amp;", "&amp;'General Information'!B24&amp;"-"&amp;'General Information'!C24:D24&amp;","&amp;'General Information'!E24&amp;"-"&amp;'General Information'!F24&amp;"-"&amp;'General Information'!G24&amp;","&amp;'General Information'!B25&amp;"-"&amp;'General Information'!C25&amp;","&amp;'General Information'!E25&amp;"-"&amp;'General Information'!F25</f>
        <v>Company's Chief Executive Name:,Designation:,Address:,City/Town/Village-,-, Post Office-,District-,-, State-,-Pin-,Telephone with STD Code-,Fax-</v>
      </c>
      <c r="D10" s="943"/>
      <c r="E10" s="930"/>
    </row>
    <row r="11" spans="1:5" ht="72" customHeight="1">
      <c r="A11" s="693" t="s">
        <v>45</v>
      </c>
      <c r="B11" s="695" t="s">
        <v>1274</v>
      </c>
      <c r="C11" s="929" t="str">
        <f>'General Information'!C26&amp;", "&amp;'General Information'!C27&amp;", "&amp;'General Information'!F27&amp;", "&amp;'General Information'!B28&amp;"- "&amp;'General Information'!C28&amp;", "&amp;'General Information'!B29&amp;"-"&amp;'General Information'!C29&amp;", "&amp;'General Information'!E29&amp;"- "&amp;'General Information'!F29&amp;", "&amp;'General Information'!B30&amp;"- "&amp;'General Information'!C30&amp;", "&amp;'General Information'!D30&amp;"-"&amp;'General Information'!E30</f>
        <v>, , , Designation- , EA/EM Registration No.-, - , Telephone- , -Fax</v>
      </c>
      <c r="D11" s="943"/>
      <c r="E11" s="930"/>
    </row>
    <row r="12" spans="1:5" ht="15">
      <c r="A12" s="700" t="s">
        <v>1275</v>
      </c>
      <c r="B12" s="935" t="s">
        <v>1276</v>
      </c>
      <c r="C12" s="935"/>
      <c r="D12" s="935"/>
      <c r="E12" s="935"/>
    </row>
    <row r="13" spans="1:5" ht="15">
      <c r="A13" s="738">
        <v>5</v>
      </c>
      <c r="B13" s="939" t="s">
        <v>1277</v>
      </c>
      <c r="C13" s="940"/>
      <c r="D13" s="940"/>
      <c r="E13" s="941"/>
    </row>
    <row r="14" spans="1:5" ht="14.25" customHeight="1">
      <c r="A14" s="944" t="s">
        <v>629</v>
      </c>
      <c r="B14" s="946" t="s">
        <v>1278</v>
      </c>
      <c r="C14" s="738" t="s">
        <v>2</v>
      </c>
      <c r="D14" s="738" t="s">
        <v>1600</v>
      </c>
      <c r="E14" s="738" t="s">
        <v>1601</v>
      </c>
    </row>
    <row r="15" spans="1:5" ht="14.25" customHeight="1">
      <c r="A15" s="945"/>
      <c r="B15" s="947"/>
      <c r="C15" s="739" t="s">
        <v>1602</v>
      </c>
      <c r="D15" s="739" t="s">
        <v>1603</v>
      </c>
      <c r="E15" s="739" t="s">
        <v>1604</v>
      </c>
    </row>
    <row r="16" spans="1:5" ht="15">
      <c r="A16" s="697" t="s">
        <v>43</v>
      </c>
      <c r="B16" s="699" t="s">
        <v>1351</v>
      </c>
      <c r="C16" s="693" t="s">
        <v>76</v>
      </c>
      <c r="D16" s="703" t="e">
        <f>'Form-Sb'!F17</f>
        <v>#DIV/0!</v>
      </c>
      <c r="E16" s="693">
        <f>'Form-Sb'!G17</f>
        <v>0</v>
      </c>
    </row>
    <row r="17" spans="1:5" ht="15">
      <c r="A17" s="697" t="s">
        <v>44</v>
      </c>
      <c r="B17" s="699" t="s">
        <v>1352</v>
      </c>
      <c r="C17" s="693" t="s">
        <v>76</v>
      </c>
      <c r="D17" s="703" t="e">
        <f>'Form-Sb'!F18</f>
        <v>#DIV/0!</v>
      </c>
      <c r="E17" s="693">
        <f>'Form-Sb'!G18</f>
        <v>0</v>
      </c>
    </row>
    <row r="18" spans="1:5" ht="15">
      <c r="A18" s="697" t="s">
        <v>45</v>
      </c>
      <c r="B18" s="699" t="s">
        <v>1353</v>
      </c>
      <c r="C18" s="693" t="s">
        <v>76</v>
      </c>
      <c r="D18" s="703" t="e">
        <f>'Form-Sb'!F19</f>
        <v>#DIV/0!</v>
      </c>
      <c r="E18" s="693">
        <f>'Form-Sb'!G19</f>
        <v>0</v>
      </c>
    </row>
    <row r="19" spans="1:5" ht="15">
      <c r="A19" s="697" t="s">
        <v>46</v>
      </c>
      <c r="B19" s="699" t="s">
        <v>1279</v>
      </c>
      <c r="C19" s="693" t="s">
        <v>76</v>
      </c>
      <c r="D19" s="693"/>
      <c r="E19" s="693"/>
    </row>
    <row r="20" spans="1:5" ht="15">
      <c r="A20" s="697" t="s">
        <v>47</v>
      </c>
      <c r="B20" s="699" t="s">
        <v>1280</v>
      </c>
      <c r="C20" s="693" t="s">
        <v>76</v>
      </c>
      <c r="D20" s="703">
        <f>'Summary Sheet'!E41</f>
        <v>0</v>
      </c>
      <c r="E20" s="703">
        <f>'Summary Sheet'!F41</f>
        <v>0</v>
      </c>
    </row>
    <row r="21" spans="1:5" ht="15" customHeight="1">
      <c r="A21" s="934"/>
      <c r="B21" s="934"/>
      <c r="C21" s="696" t="s">
        <v>2</v>
      </c>
      <c r="D21" s="696" t="s">
        <v>1354</v>
      </c>
      <c r="E21" s="696" t="s">
        <v>1355</v>
      </c>
    </row>
    <row r="22" spans="1:5" ht="14.25" customHeight="1">
      <c r="A22" s="737" t="s">
        <v>35</v>
      </c>
      <c r="B22" s="942" t="s">
        <v>1281</v>
      </c>
      <c r="C22" s="942"/>
      <c r="D22" s="942"/>
      <c r="E22" s="942"/>
    </row>
    <row r="23" spans="1:5" ht="15">
      <c r="A23" s="944" t="s">
        <v>629</v>
      </c>
      <c r="B23" s="944" t="s">
        <v>1599</v>
      </c>
      <c r="C23" s="738" t="s">
        <v>2</v>
      </c>
      <c r="D23" s="738" t="s">
        <v>1600</v>
      </c>
      <c r="E23" s="738" t="s">
        <v>1601</v>
      </c>
    </row>
    <row r="24" spans="1:5" ht="15">
      <c r="A24" s="945"/>
      <c r="B24" s="945"/>
      <c r="C24" s="739" t="s">
        <v>1602</v>
      </c>
      <c r="D24" s="739" t="s">
        <v>1603</v>
      </c>
      <c r="E24" s="739" t="s">
        <v>1604</v>
      </c>
    </row>
    <row r="25" spans="1:5" ht="15">
      <c r="A25" s="697" t="s">
        <v>1282</v>
      </c>
      <c r="B25" s="694" t="s">
        <v>1283</v>
      </c>
      <c r="C25" s="693" t="s">
        <v>1284</v>
      </c>
      <c r="D25" s="703" t="e">
        <f>'Summary Sheet'!E31/10</f>
        <v>#DIV/0!</v>
      </c>
      <c r="E25" s="703">
        <f>'Summary Sheet'!F31/10</f>
        <v>0</v>
      </c>
    </row>
    <row r="26" spans="1:5" ht="15">
      <c r="A26" s="697" t="s">
        <v>44</v>
      </c>
      <c r="B26" s="694" t="s">
        <v>1285</v>
      </c>
      <c r="C26" s="693" t="s">
        <v>1284</v>
      </c>
      <c r="D26" s="703" t="e">
        <f>'Form-Sb'!F254/10</f>
        <v>#DIV/0!</v>
      </c>
      <c r="E26" s="693">
        <f>'Form-Sb'!G254/10</f>
        <v>0</v>
      </c>
    </row>
    <row r="27" spans="1:5" ht="15">
      <c r="A27" s="697" t="s">
        <v>45</v>
      </c>
      <c r="B27" s="694" t="s">
        <v>1286</v>
      </c>
      <c r="C27" s="693" t="s">
        <v>1284</v>
      </c>
      <c r="D27" s="703" t="e">
        <f>'Form-Sb'!F255/10</f>
        <v>#DIV/0!</v>
      </c>
      <c r="E27" s="693">
        <f>'Form-Sb'!G255/10</f>
        <v>0</v>
      </c>
    </row>
    <row r="28" spans="1:5" ht="15">
      <c r="A28" s="697" t="s">
        <v>46</v>
      </c>
      <c r="B28" s="694" t="s">
        <v>1287</v>
      </c>
      <c r="C28" s="693" t="s">
        <v>1284</v>
      </c>
      <c r="D28" s="703" t="e">
        <f>'Form-Sb'!F259/10</f>
        <v>#DIV/0!</v>
      </c>
      <c r="E28" s="693">
        <f>'Form-Sb'!G259/10</f>
        <v>0</v>
      </c>
    </row>
    <row r="29" spans="1:5" ht="15">
      <c r="A29" s="697" t="s">
        <v>47</v>
      </c>
      <c r="B29" s="694" t="s">
        <v>1288</v>
      </c>
      <c r="C29" s="693" t="s">
        <v>60</v>
      </c>
      <c r="D29" s="703" t="e">
        <f>'Form-Sb'!F386+'Form-Sb'!F387</f>
        <v>#DIV/0!</v>
      </c>
      <c r="E29" s="693">
        <f>'Form-Sb'!G386+'Form-Sb'!G387</f>
        <v>0</v>
      </c>
    </row>
    <row r="30" spans="1:5" ht="15">
      <c r="A30" s="693" t="s">
        <v>48</v>
      </c>
      <c r="B30" s="694" t="s">
        <v>1289</v>
      </c>
      <c r="C30" s="693" t="s">
        <v>60</v>
      </c>
      <c r="D30" s="703" t="e">
        <f>'Form-Sb'!F469+'Form-Sb'!F470+'Form-Sb'!F471</f>
        <v>#DIV/0!</v>
      </c>
      <c r="E30" s="693">
        <f>'Form-Sb'!G469+'Form-Sb'!G470+'Form-Sb'!G471</f>
        <v>0</v>
      </c>
    </row>
    <row r="31" spans="1:5" ht="15">
      <c r="A31" s="693" t="s">
        <v>49</v>
      </c>
      <c r="B31" s="694" t="s">
        <v>1290</v>
      </c>
      <c r="C31" s="693" t="s">
        <v>60</v>
      </c>
      <c r="D31" s="703">
        <f>'Form-Sb'!F495+'Form-Sb'!F496</f>
        <v>0</v>
      </c>
      <c r="E31" s="693">
        <f>'Form-Sb'!G495+'Form-Sb'!G496</f>
        <v>0</v>
      </c>
    </row>
    <row r="32" spans="1:5" ht="15">
      <c r="A32" s="693" t="s">
        <v>50</v>
      </c>
      <c r="B32" s="694" t="s">
        <v>138</v>
      </c>
      <c r="C32" s="693" t="s">
        <v>60</v>
      </c>
      <c r="D32" s="703">
        <f>'Form-Sb'!F501</f>
        <v>0</v>
      </c>
      <c r="E32" s="693">
        <f>'Form-Sb'!G501</f>
        <v>0</v>
      </c>
    </row>
    <row r="33" spans="1:5" ht="15">
      <c r="A33" s="693" t="s">
        <v>100</v>
      </c>
      <c r="B33" s="694" t="s">
        <v>1291</v>
      </c>
      <c r="C33" s="693" t="s">
        <v>1292</v>
      </c>
      <c r="D33" s="703" t="e">
        <f>'Summary Sheet'!E62/10</f>
        <v>#DIV/0!</v>
      </c>
      <c r="E33" s="703" t="e">
        <f>'Summary Sheet'!F62/10</f>
        <v>#DIV/0!</v>
      </c>
    </row>
    <row r="34" spans="1:5" ht="15">
      <c r="A34" s="696" t="s">
        <v>36</v>
      </c>
      <c r="B34" s="933" t="s">
        <v>1293</v>
      </c>
      <c r="C34" s="933"/>
      <c r="D34" s="933"/>
      <c r="E34" s="933"/>
    </row>
    <row r="35" spans="1:5" ht="15">
      <c r="A35" s="697" t="s">
        <v>1294</v>
      </c>
      <c r="B35" s="694" t="s">
        <v>1295</v>
      </c>
      <c r="C35" s="693" t="s">
        <v>1296</v>
      </c>
      <c r="D35" s="764">
        <f>'Summary Sheet'!E52</f>
        <v>0</v>
      </c>
      <c r="E35" s="764">
        <f>'Summary Sheet'!F52</f>
        <v>0</v>
      </c>
    </row>
    <row r="36" spans="1:5" ht="15">
      <c r="A36" s="697" t="s">
        <v>1297</v>
      </c>
      <c r="B36" s="694" t="s">
        <v>1298</v>
      </c>
      <c r="C36" s="693" t="s">
        <v>1296</v>
      </c>
      <c r="D36" s="693" t="s">
        <v>1605</v>
      </c>
      <c r="E36" s="765">
        <f>'Summary Sheet'!F68</f>
        <v>0</v>
      </c>
    </row>
    <row r="37" spans="1:5" ht="15">
      <c r="A37" s="934"/>
      <c r="B37" s="934"/>
      <c r="C37" s="934"/>
      <c r="D37" s="934"/>
      <c r="E37" s="934"/>
    </row>
    <row r="38" spans="1:5" ht="15">
      <c r="A38" s="700" t="s">
        <v>38</v>
      </c>
      <c r="B38" s="935" t="s">
        <v>1299</v>
      </c>
      <c r="C38" s="935"/>
      <c r="D38" s="935"/>
      <c r="E38" s="935"/>
    </row>
    <row r="39" spans="1:5" ht="15">
      <c r="A39" s="697" t="s">
        <v>1300</v>
      </c>
      <c r="B39" s="699" t="s">
        <v>1301</v>
      </c>
      <c r="C39" s="693" t="s">
        <v>59</v>
      </c>
      <c r="D39" s="694"/>
      <c r="E39" s="693"/>
    </row>
    <row r="40" spans="1:5" ht="28.5">
      <c r="A40" s="697" t="s">
        <v>1297</v>
      </c>
      <c r="B40" s="699" t="s">
        <v>1302</v>
      </c>
      <c r="C40" s="693" t="s">
        <v>1303</v>
      </c>
      <c r="D40" s="694"/>
      <c r="E40" s="693"/>
    </row>
    <row r="41" spans="1:5" ht="15">
      <c r="A41" s="697" t="s">
        <v>1304</v>
      </c>
      <c r="B41" s="699" t="s">
        <v>1305</v>
      </c>
      <c r="C41" s="693" t="s">
        <v>1306</v>
      </c>
      <c r="D41" s="694"/>
      <c r="E41" s="693"/>
    </row>
    <row r="42" spans="1:5" ht="15">
      <c r="A42" s="697" t="s">
        <v>1307</v>
      </c>
      <c r="B42" s="699" t="s">
        <v>1308</v>
      </c>
      <c r="C42" s="693" t="s">
        <v>3</v>
      </c>
      <c r="D42" s="694"/>
      <c r="E42" s="693"/>
    </row>
    <row r="43" spans="1:5" ht="15">
      <c r="A43" s="697" t="s">
        <v>1309</v>
      </c>
      <c r="B43" s="699" t="s">
        <v>1310</v>
      </c>
      <c r="C43" s="693" t="s">
        <v>238</v>
      </c>
      <c r="D43" s="694"/>
      <c r="E43" s="693"/>
    </row>
    <row r="44" spans="1:5" ht="15">
      <c r="A44" s="697" t="s">
        <v>1311</v>
      </c>
      <c r="B44" s="699" t="s">
        <v>1312</v>
      </c>
      <c r="C44" s="693" t="s">
        <v>238</v>
      </c>
      <c r="D44" s="694"/>
      <c r="E44" s="693"/>
    </row>
    <row r="45" spans="1:5" ht="15">
      <c r="A45" s="697" t="s">
        <v>1313</v>
      </c>
      <c r="B45" s="699" t="s">
        <v>259</v>
      </c>
      <c r="C45" s="693" t="s">
        <v>3</v>
      </c>
      <c r="D45" s="694"/>
      <c r="E45" s="693"/>
    </row>
    <row r="46" spans="1:5" ht="15">
      <c r="A46" s="697" t="s">
        <v>1314</v>
      </c>
      <c r="B46" s="699" t="s">
        <v>1315</v>
      </c>
      <c r="C46" s="693" t="s">
        <v>238</v>
      </c>
      <c r="D46" s="694"/>
      <c r="E46" s="693"/>
    </row>
    <row r="47" spans="1:5" ht="15">
      <c r="A47" s="697" t="s">
        <v>1316</v>
      </c>
      <c r="B47" s="699" t="s">
        <v>1317</v>
      </c>
      <c r="C47" s="693" t="s">
        <v>238</v>
      </c>
      <c r="D47" s="698"/>
      <c r="E47" s="698"/>
    </row>
    <row r="48" spans="1:5" ht="15">
      <c r="A48" s="697"/>
      <c r="B48" s="699"/>
      <c r="C48" s="693"/>
      <c r="D48" s="698"/>
      <c r="E48" s="698"/>
    </row>
    <row r="49" spans="1:5" ht="15">
      <c r="A49" s="730" t="s">
        <v>40</v>
      </c>
      <c r="B49" s="950" t="s">
        <v>1318</v>
      </c>
      <c r="C49" s="950"/>
      <c r="D49" s="950"/>
      <c r="E49" s="950"/>
    </row>
    <row r="50" spans="1:5" s="669" customFormat="1" ht="38.25" customHeight="1">
      <c r="A50" s="736" t="s">
        <v>1319</v>
      </c>
      <c r="B50" s="701" t="s">
        <v>1320</v>
      </c>
      <c r="C50" s="701" t="s">
        <v>1270</v>
      </c>
      <c r="D50" s="931" t="s">
        <v>1321</v>
      </c>
      <c r="E50" s="932"/>
    </row>
    <row r="51" spans="1:5" ht="15" customHeight="1">
      <c r="A51" s="934" t="s">
        <v>123</v>
      </c>
      <c r="B51" s="936" t="s">
        <v>1322</v>
      </c>
      <c r="C51" s="694" t="s">
        <v>1323</v>
      </c>
      <c r="D51" s="929" t="s">
        <v>1324</v>
      </c>
      <c r="E51" s="930"/>
    </row>
    <row r="52" spans="1:5" ht="15" customHeight="1">
      <c r="A52" s="934"/>
      <c r="B52" s="936"/>
      <c r="C52" s="694" t="s">
        <v>1325</v>
      </c>
      <c r="D52" s="929" t="s">
        <v>1326</v>
      </c>
      <c r="E52" s="930"/>
    </row>
    <row r="53" spans="1:5" ht="15">
      <c r="A53" s="697" t="s">
        <v>125</v>
      </c>
      <c r="B53" s="694" t="s">
        <v>1327</v>
      </c>
      <c r="C53" s="694" t="s">
        <v>1327</v>
      </c>
      <c r="D53" s="929" t="s">
        <v>1328</v>
      </c>
      <c r="E53" s="930"/>
    </row>
    <row r="54" spans="1:5" ht="15">
      <c r="A54" s="697" t="s">
        <v>137</v>
      </c>
      <c r="B54" s="694" t="s">
        <v>1329</v>
      </c>
      <c r="C54" s="694" t="s">
        <v>1329</v>
      </c>
      <c r="D54" s="929" t="s">
        <v>1330</v>
      </c>
      <c r="E54" s="930"/>
    </row>
    <row r="55" spans="1:5" ht="15">
      <c r="A55" s="697" t="s">
        <v>126</v>
      </c>
      <c r="B55" s="694" t="s">
        <v>1331</v>
      </c>
      <c r="C55" s="694" t="s">
        <v>1331</v>
      </c>
      <c r="D55" s="929" t="s">
        <v>1332</v>
      </c>
      <c r="E55" s="930"/>
    </row>
    <row r="56" spans="1:5" ht="15" customHeight="1">
      <c r="A56" s="934" t="s">
        <v>128</v>
      </c>
      <c r="B56" s="936" t="s">
        <v>1333</v>
      </c>
      <c r="C56" s="694" t="s">
        <v>1334</v>
      </c>
      <c r="D56" s="929" t="s">
        <v>1335</v>
      </c>
      <c r="E56" s="930"/>
    </row>
    <row r="57" spans="1:5" ht="14.25" customHeight="1">
      <c r="A57" s="934"/>
      <c r="B57" s="936"/>
      <c r="C57" s="694" t="s">
        <v>1336</v>
      </c>
      <c r="D57" s="929" t="s">
        <v>1337</v>
      </c>
      <c r="E57" s="930"/>
    </row>
    <row r="58" spans="1:5" ht="15" customHeight="1">
      <c r="A58" s="697" t="s">
        <v>130</v>
      </c>
      <c r="B58" s="694" t="s">
        <v>1338</v>
      </c>
      <c r="C58" s="694" t="s">
        <v>1338</v>
      </c>
      <c r="D58" s="929" t="s">
        <v>1339</v>
      </c>
      <c r="E58" s="930"/>
    </row>
    <row r="59" spans="1:5" ht="14.25" customHeight="1">
      <c r="A59" s="934" t="s">
        <v>131</v>
      </c>
      <c r="B59" s="936" t="s">
        <v>1340</v>
      </c>
      <c r="C59" s="694" t="s">
        <v>1341</v>
      </c>
      <c r="D59" s="929" t="s">
        <v>1342</v>
      </c>
      <c r="E59" s="930"/>
    </row>
    <row r="60" spans="1:5" ht="14.25" customHeight="1">
      <c r="A60" s="934"/>
      <c r="B60" s="936"/>
      <c r="C60" s="694" t="s">
        <v>1343</v>
      </c>
      <c r="D60" s="929" t="s">
        <v>1344</v>
      </c>
      <c r="E60" s="930"/>
    </row>
    <row r="61" spans="1:5" ht="14.25" customHeight="1">
      <c r="A61" s="934"/>
      <c r="B61" s="936"/>
      <c r="C61" s="694" t="s">
        <v>1345</v>
      </c>
      <c r="D61" s="929" t="s">
        <v>1346</v>
      </c>
      <c r="E61" s="930"/>
    </row>
    <row r="62" spans="1:5" ht="14.25" customHeight="1">
      <c r="A62" s="934"/>
      <c r="B62" s="936"/>
      <c r="C62" s="694" t="s">
        <v>1347</v>
      </c>
      <c r="D62" s="929" t="s">
        <v>1348</v>
      </c>
      <c r="E62" s="930"/>
    </row>
    <row r="63" spans="1:5" ht="15" customHeight="1">
      <c r="A63" s="697" t="s">
        <v>133</v>
      </c>
      <c r="B63" s="694" t="s">
        <v>1349</v>
      </c>
      <c r="C63" s="694" t="s">
        <v>1349</v>
      </c>
      <c r="D63" s="929" t="s">
        <v>1350</v>
      </c>
      <c r="E63" s="930"/>
    </row>
    <row r="66" spans="1:5" ht="15">
      <c r="A66" s="928" t="s">
        <v>1612</v>
      </c>
      <c r="B66" s="928"/>
      <c r="C66" s="928"/>
      <c r="D66" s="928"/>
      <c r="E66" s="928"/>
    </row>
    <row r="67" spans="1:5" ht="15">
      <c r="A67" s="928"/>
      <c r="B67" s="928"/>
      <c r="C67" s="928"/>
      <c r="D67" s="928"/>
      <c r="E67" s="928"/>
    </row>
    <row r="68" spans="1:5" ht="15">
      <c r="A68" s="749" t="s">
        <v>1613</v>
      </c>
      <c r="B68" s="750"/>
      <c r="C68" s="750"/>
      <c r="D68" s="750"/>
      <c r="E68" s="750"/>
    </row>
    <row r="69" spans="1:5" ht="15">
      <c r="A69" s="751"/>
      <c r="B69" s="752"/>
      <c r="C69" s="753"/>
      <c r="D69" s="754" t="s">
        <v>1588</v>
      </c>
      <c r="E69" s="755"/>
    </row>
    <row r="70" spans="1:5" ht="15">
      <c r="A70" s="751"/>
      <c r="B70" s="752"/>
      <c r="C70" s="753"/>
      <c r="D70" s="749" t="s">
        <v>1589</v>
      </c>
      <c r="E70" s="755"/>
    </row>
    <row r="71" spans="1:5" ht="15">
      <c r="A71" s="754" t="s">
        <v>1614</v>
      </c>
      <c r="B71" s="752"/>
      <c r="C71" s="753"/>
      <c r="D71" s="749" t="s">
        <v>1590</v>
      </c>
      <c r="E71" s="755"/>
    </row>
    <row r="72" spans="1:5" ht="15">
      <c r="A72" s="749" t="s">
        <v>1615</v>
      </c>
      <c r="B72" s="752"/>
      <c r="C72" s="753"/>
      <c r="D72" s="756"/>
      <c r="E72" s="755"/>
    </row>
    <row r="73" spans="1:5" ht="15">
      <c r="A73" s="749" t="s">
        <v>1591</v>
      </c>
      <c r="B73" s="752"/>
      <c r="C73" s="752"/>
      <c r="D73" s="752"/>
      <c r="E73" s="755"/>
    </row>
    <row r="74" spans="1:5" ht="15">
      <c r="A74" s="749"/>
      <c r="B74" s="752"/>
      <c r="C74" s="752"/>
      <c r="D74" s="752"/>
      <c r="E74" s="755"/>
    </row>
    <row r="75" spans="1:5" ht="15">
      <c r="A75" s="757"/>
      <c r="B75" s="755"/>
      <c r="C75" s="755"/>
      <c r="D75" s="756"/>
      <c r="E75" s="755"/>
    </row>
    <row r="76" spans="1:5" ht="15">
      <c r="A76" s="749" t="s">
        <v>1592</v>
      </c>
      <c r="B76" s="755"/>
      <c r="C76" s="755"/>
      <c r="D76" s="755"/>
      <c r="E76" s="755"/>
    </row>
    <row r="77" spans="1:5" ht="15">
      <c r="A77" s="758"/>
      <c r="B77" s="759"/>
      <c r="C77" s="760"/>
      <c r="D77" s="760"/>
      <c r="E77" s="760"/>
    </row>
    <row r="78" spans="1:5" ht="15">
      <c r="A78" s="751"/>
      <c r="B78" s="756"/>
      <c r="C78" s="756"/>
      <c r="D78" s="756"/>
      <c r="E78" s="761"/>
    </row>
    <row r="79" spans="1:5" ht="15">
      <c r="A79" s="757" t="s">
        <v>766</v>
      </c>
      <c r="B79" s="756"/>
      <c r="C79" s="756"/>
      <c r="D79" s="756"/>
      <c r="E79" s="761"/>
    </row>
  </sheetData>
  <sheetProtection password="E2BB" sheet="1"/>
  <mergeCells count="47">
    <mergeCell ref="A23:A24"/>
    <mergeCell ref="B23:B24"/>
    <mergeCell ref="A14:A15"/>
    <mergeCell ref="B14:B15"/>
    <mergeCell ref="B59:B62"/>
    <mergeCell ref="A5:A6"/>
    <mergeCell ref="B49:E49"/>
    <mergeCell ref="A51:A52"/>
    <mergeCell ref="B51:B52"/>
    <mergeCell ref="A7:A8"/>
    <mergeCell ref="A21:B21"/>
    <mergeCell ref="B22:E22"/>
    <mergeCell ref="C7:D7"/>
    <mergeCell ref="C8:D8"/>
    <mergeCell ref="C9:E9"/>
    <mergeCell ref="C10:E10"/>
    <mergeCell ref="C11:E11"/>
    <mergeCell ref="A59:A62"/>
    <mergeCell ref="A1:E1"/>
    <mergeCell ref="A2:E2"/>
    <mergeCell ref="C3:E3"/>
    <mergeCell ref="C4:E4"/>
    <mergeCell ref="C5:E5"/>
    <mergeCell ref="C6:E6"/>
    <mergeCell ref="B7:B8"/>
    <mergeCell ref="B12:E12"/>
    <mergeCell ref="B13:E13"/>
    <mergeCell ref="D60:E60"/>
    <mergeCell ref="D61:E61"/>
    <mergeCell ref="D50:E50"/>
    <mergeCell ref="B34:E34"/>
    <mergeCell ref="A37:E37"/>
    <mergeCell ref="B38:E38"/>
    <mergeCell ref="D51:E51"/>
    <mergeCell ref="D52:E52"/>
    <mergeCell ref="A56:A57"/>
    <mergeCell ref="B56:B57"/>
    <mergeCell ref="A66:E67"/>
    <mergeCell ref="D62:E62"/>
    <mergeCell ref="D53:E53"/>
    <mergeCell ref="D54:E54"/>
    <mergeCell ref="D55:E55"/>
    <mergeCell ref="D56:E56"/>
    <mergeCell ref="D63:E63"/>
    <mergeCell ref="D57:E57"/>
    <mergeCell ref="D58:E58"/>
    <mergeCell ref="D59:E5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E31" sqref="E31:G31"/>
    </sheetView>
  </sheetViews>
  <sheetFormatPr defaultColWidth="0" defaultRowHeight="0" customHeight="1" zeroHeight="1"/>
  <cols>
    <col min="1" max="1" width="6.421875" style="31" customWidth="1"/>
    <col min="2" max="2" width="43.28125" style="32" customWidth="1"/>
    <col min="3" max="3" width="17.421875" style="33" customWidth="1"/>
    <col min="4" max="4" width="14.57421875" style="29" customWidth="1"/>
    <col min="5" max="5" width="15.140625" style="29" customWidth="1"/>
    <col min="6" max="6" width="12.7109375" style="29" customWidth="1"/>
    <col min="7" max="7" width="16.00390625" style="29" customWidth="1"/>
    <col min="8" max="16384" width="9.140625" style="29" hidden="1" customWidth="1"/>
  </cols>
  <sheetData>
    <row r="1" spans="1:7" ht="30" customHeight="1">
      <c r="A1" s="924" t="s">
        <v>1244</v>
      </c>
      <c r="B1" s="924"/>
      <c r="C1" s="924"/>
      <c r="D1" s="924"/>
      <c r="E1" s="924"/>
      <c r="F1" s="924"/>
      <c r="G1" s="924"/>
    </row>
    <row r="2" spans="1:7" ht="30" customHeight="1">
      <c r="A2" s="982" t="s">
        <v>364</v>
      </c>
      <c r="B2" s="983"/>
      <c r="C2" s="983"/>
      <c r="D2" s="983"/>
      <c r="E2" s="983"/>
      <c r="F2" s="983"/>
      <c r="G2" s="983"/>
    </row>
    <row r="3" spans="1:7" ht="17.25">
      <c r="A3" s="426">
        <v>1</v>
      </c>
      <c r="B3" s="15" t="s">
        <v>120</v>
      </c>
      <c r="C3" s="984"/>
      <c r="D3" s="954"/>
      <c r="E3" s="954"/>
      <c r="F3" s="954"/>
      <c r="G3" s="954"/>
    </row>
    <row r="4" spans="1:7" ht="17.25">
      <c r="A4" s="980">
        <v>2</v>
      </c>
      <c r="B4" s="15" t="s">
        <v>1483</v>
      </c>
      <c r="C4" s="954"/>
      <c r="D4" s="954"/>
      <c r="E4" s="954"/>
      <c r="F4" s="954"/>
      <c r="G4" s="954"/>
    </row>
    <row r="5" spans="1:7" ht="17.25">
      <c r="A5" s="981"/>
      <c r="B5" s="15" t="s">
        <v>1587</v>
      </c>
      <c r="C5" s="977"/>
      <c r="D5" s="978"/>
      <c r="E5" s="978"/>
      <c r="F5" s="978"/>
      <c r="G5" s="979"/>
    </row>
    <row r="6" spans="1:7" ht="17.25">
      <c r="A6" s="702">
        <v>3</v>
      </c>
      <c r="B6" s="15" t="s">
        <v>1270</v>
      </c>
      <c r="C6" s="973" t="s">
        <v>1593</v>
      </c>
      <c r="D6" s="974"/>
      <c r="E6" s="726" t="s">
        <v>1270</v>
      </c>
      <c r="F6" s="975" t="str">
        <f>C6</f>
        <v>PPC</v>
      </c>
      <c r="G6" s="976"/>
    </row>
    <row r="7" spans="1:7" ht="17.25">
      <c r="A7" s="426">
        <v>4</v>
      </c>
      <c r="B7" s="966" t="s">
        <v>344</v>
      </c>
      <c r="C7" s="966"/>
      <c r="D7" s="966"/>
      <c r="E7" s="966"/>
      <c r="F7" s="966"/>
      <c r="G7" s="966"/>
    </row>
    <row r="8" spans="1:7" ht="17.25">
      <c r="A8" s="952" t="s">
        <v>6</v>
      </c>
      <c r="B8" s="427" t="s">
        <v>345</v>
      </c>
      <c r="C8" s="971"/>
      <c r="D8" s="971"/>
      <c r="E8" s="971"/>
      <c r="F8" s="971"/>
      <c r="G8" s="971"/>
    </row>
    <row r="9" spans="1:7" ht="17.25">
      <c r="A9" s="952"/>
      <c r="B9" s="427" t="s">
        <v>363</v>
      </c>
      <c r="C9" s="962"/>
      <c r="D9" s="963"/>
      <c r="E9" s="963"/>
      <c r="F9" s="963"/>
      <c r="G9" s="964"/>
    </row>
    <row r="10" spans="1:7" ht="17.25">
      <c r="A10" s="952"/>
      <c r="B10" s="427" t="s">
        <v>346</v>
      </c>
      <c r="C10" s="970"/>
      <c r="D10" s="971"/>
      <c r="E10" s="971"/>
      <c r="F10" s="971"/>
      <c r="G10" s="971"/>
    </row>
    <row r="11" spans="1:7" ht="17.25">
      <c r="A11" s="952"/>
      <c r="B11" s="427" t="s">
        <v>347</v>
      </c>
      <c r="C11" s="956"/>
      <c r="D11" s="956"/>
      <c r="E11" s="956"/>
      <c r="F11" s="428" t="s">
        <v>348</v>
      </c>
      <c r="G11" s="867"/>
    </row>
    <row r="12" spans="1:7" ht="17.25">
      <c r="A12" s="952"/>
      <c r="B12" s="427" t="s">
        <v>349</v>
      </c>
      <c r="C12" s="954"/>
      <c r="D12" s="954"/>
      <c r="E12" s="428" t="s">
        <v>350</v>
      </c>
      <c r="F12" s="954"/>
      <c r="G12" s="954"/>
    </row>
    <row r="13" spans="1:7" ht="17.25">
      <c r="A13" s="952" t="s">
        <v>7</v>
      </c>
      <c r="B13" s="25" t="s">
        <v>351</v>
      </c>
      <c r="C13" s="965"/>
      <c r="D13" s="960"/>
      <c r="E13" s="960"/>
      <c r="F13" s="960"/>
      <c r="G13" s="961"/>
    </row>
    <row r="14" spans="1:7" ht="17.25">
      <c r="A14" s="952"/>
      <c r="B14" s="428" t="s">
        <v>352</v>
      </c>
      <c r="C14" s="965"/>
      <c r="D14" s="960"/>
      <c r="E14" s="960"/>
      <c r="F14" s="960"/>
      <c r="G14" s="961"/>
    </row>
    <row r="15" spans="1:7" ht="17.25">
      <c r="A15" s="952"/>
      <c r="B15" s="427" t="s">
        <v>1165</v>
      </c>
      <c r="C15" s="954"/>
      <c r="D15" s="954"/>
      <c r="E15" s="428" t="s">
        <v>350</v>
      </c>
      <c r="F15" s="954"/>
      <c r="G15" s="954"/>
    </row>
    <row r="16" spans="1:7" ht="17.25">
      <c r="A16" s="952"/>
      <c r="B16" s="428" t="s">
        <v>353</v>
      </c>
      <c r="C16" s="865"/>
      <c r="D16" s="428" t="s">
        <v>354</v>
      </c>
      <c r="E16" s="972"/>
      <c r="F16" s="956"/>
      <c r="G16" s="956"/>
    </row>
    <row r="17" spans="1:7" ht="17.25">
      <c r="A17" s="426">
        <v>5</v>
      </c>
      <c r="B17" s="966" t="s">
        <v>355</v>
      </c>
      <c r="C17" s="966"/>
      <c r="D17" s="966"/>
      <c r="E17" s="966"/>
      <c r="F17" s="966"/>
      <c r="G17" s="966"/>
    </row>
    <row r="18" spans="1:7" ht="17.25">
      <c r="A18" s="952" t="s">
        <v>6</v>
      </c>
      <c r="B18" s="25" t="s">
        <v>356</v>
      </c>
      <c r="C18" s="965"/>
      <c r="D18" s="960"/>
      <c r="E18" s="960"/>
      <c r="F18" s="960"/>
      <c r="G18" s="961"/>
    </row>
    <row r="19" spans="1:7" ht="17.25">
      <c r="A19" s="952"/>
      <c r="B19" s="428" t="s">
        <v>352</v>
      </c>
      <c r="C19" s="965"/>
      <c r="D19" s="960"/>
      <c r="E19" s="960"/>
      <c r="F19" s="960"/>
      <c r="G19" s="961"/>
    </row>
    <row r="20" spans="1:7" ht="17.25">
      <c r="A20" s="952"/>
      <c r="B20" s="428" t="s">
        <v>357</v>
      </c>
      <c r="C20" s="965"/>
      <c r="D20" s="960"/>
      <c r="E20" s="960"/>
      <c r="F20" s="960"/>
      <c r="G20" s="961"/>
    </row>
    <row r="21" spans="1:7" ht="17.25">
      <c r="A21" s="952"/>
      <c r="B21" s="427" t="s">
        <v>345</v>
      </c>
      <c r="C21" s="954"/>
      <c r="D21" s="954"/>
      <c r="E21" s="954"/>
      <c r="F21" s="954"/>
      <c r="G21" s="954"/>
    </row>
    <row r="22" spans="1:7" ht="17.25">
      <c r="A22" s="952"/>
      <c r="B22" s="427" t="s">
        <v>363</v>
      </c>
      <c r="C22" s="967"/>
      <c r="D22" s="968"/>
      <c r="E22" s="968"/>
      <c r="F22" s="968"/>
      <c r="G22" s="969"/>
    </row>
    <row r="23" spans="1:7" ht="17.25">
      <c r="A23" s="952"/>
      <c r="B23" s="427" t="s">
        <v>346</v>
      </c>
      <c r="C23" s="954"/>
      <c r="D23" s="954"/>
      <c r="E23" s="954"/>
      <c r="F23" s="954"/>
      <c r="G23" s="954"/>
    </row>
    <row r="24" spans="1:7" ht="17.25">
      <c r="A24" s="952"/>
      <c r="B24" s="427" t="s">
        <v>347</v>
      </c>
      <c r="C24" s="954"/>
      <c r="D24" s="954"/>
      <c r="E24" s="954"/>
      <c r="F24" s="428" t="s">
        <v>348</v>
      </c>
      <c r="G24" s="866"/>
    </row>
    <row r="25" spans="1:7" ht="17.25">
      <c r="A25" s="952"/>
      <c r="B25" s="427" t="s">
        <v>1165</v>
      </c>
      <c r="C25" s="956"/>
      <c r="D25" s="956"/>
      <c r="E25" s="428" t="s">
        <v>350</v>
      </c>
      <c r="F25" s="956"/>
      <c r="G25" s="956"/>
    </row>
    <row r="26" spans="1:7" ht="17.25">
      <c r="A26" s="426">
        <v>6</v>
      </c>
      <c r="B26" s="966" t="s">
        <v>358</v>
      </c>
      <c r="C26" s="966"/>
      <c r="D26" s="966"/>
      <c r="E26" s="966"/>
      <c r="F26" s="966"/>
      <c r="G26" s="966"/>
    </row>
    <row r="27" spans="1:7" ht="17.25">
      <c r="A27" s="952" t="s">
        <v>6</v>
      </c>
      <c r="B27" s="15" t="s">
        <v>359</v>
      </c>
      <c r="C27" s="954"/>
      <c r="D27" s="954"/>
      <c r="E27" s="954"/>
      <c r="F27" s="954"/>
      <c r="G27" s="954"/>
    </row>
    <row r="28" spans="1:7" ht="17.25">
      <c r="A28" s="952"/>
      <c r="B28" s="427" t="s">
        <v>352</v>
      </c>
      <c r="C28" s="954"/>
      <c r="D28" s="954"/>
      <c r="E28" s="955" t="s">
        <v>360</v>
      </c>
      <c r="F28" s="955"/>
      <c r="G28" s="867"/>
    </row>
    <row r="29" spans="1:7" ht="17.25">
      <c r="A29" s="952"/>
      <c r="B29" s="428" t="s">
        <v>361</v>
      </c>
      <c r="C29" s="960"/>
      <c r="D29" s="960"/>
      <c r="E29" s="960"/>
      <c r="F29" s="960"/>
      <c r="G29" s="961"/>
    </row>
    <row r="30" spans="1:7" ht="17.25">
      <c r="A30" s="952"/>
      <c r="B30" s="427" t="s">
        <v>349</v>
      </c>
      <c r="C30" s="956"/>
      <c r="D30" s="956"/>
      <c r="E30" s="428" t="s">
        <v>350</v>
      </c>
      <c r="F30" s="957"/>
      <c r="G30" s="956"/>
    </row>
    <row r="31" spans="1:7" ht="18" thickBot="1">
      <c r="A31" s="953"/>
      <c r="B31" s="429" t="s">
        <v>353</v>
      </c>
      <c r="C31" s="868"/>
      <c r="D31" s="429" t="s">
        <v>362</v>
      </c>
      <c r="E31" s="958"/>
      <c r="F31" s="959"/>
      <c r="G31" s="959"/>
    </row>
  </sheetData>
  <sheetProtection password="E2BB" sheet="1" formatCells="0"/>
  <mergeCells count="42">
    <mergeCell ref="C6:D6"/>
    <mergeCell ref="F6:G6"/>
    <mergeCell ref="C5:G5"/>
    <mergeCell ref="A4:A5"/>
    <mergeCell ref="A1:G1"/>
    <mergeCell ref="A2:G2"/>
    <mergeCell ref="C3:G3"/>
    <mergeCell ref="C4:G4"/>
    <mergeCell ref="C8:G8"/>
    <mergeCell ref="C20:G20"/>
    <mergeCell ref="B17:G17"/>
    <mergeCell ref="E16:G16"/>
    <mergeCell ref="A13:A16"/>
    <mergeCell ref="A8:A12"/>
    <mergeCell ref="A18:A25"/>
    <mergeCell ref="C24:E24"/>
    <mergeCell ref="C25:D25"/>
    <mergeCell ref="F12:G12"/>
    <mergeCell ref="B26:G26"/>
    <mergeCell ref="C21:G21"/>
    <mergeCell ref="C22:G22"/>
    <mergeCell ref="C23:G23"/>
    <mergeCell ref="B7:G7"/>
    <mergeCell ref="C10:G10"/>
    <mergeCell ref="C11:E11"/>
    <mergeCell ref="C12:D12"/>
    <mergeCell ref="C13:G13"/>
    <mergeCell ref="C14:G14"/>
    <mergeCell ref="C9:G9"/>
    <mergeCell ref="C15:D15"/>
    <mergeCell ref="F15:G15"/>
    <mergeCell ref="C18:G18"/>
    <mergeCell ref="F25:G25"/>
    <mergeCell ref="C19:G19"/>
    <mergeCell ref="A27:A31"/>
    <mergeCell ref="C28:D28"/>
    <mergeCell ref="E28:F28"/>
    <mergeCell ref="C30:D30"/>
    <mergeCell ref="F30:G30"/>
    <mergeCell ref="E31:G31"/>
    <mergeCell ref="C27:G27"/>
    <mergeCell ref="C29:G29"/>
  </mergeCells>
  <dataValidations count="1">
    <dataValidation type="list" allowBlank="1" showInputMessage="1" showErrorMessage="1" sqref="C6:D6">
      <formula1>"PPC,OPC,PSC, White Cement, Wet, Grinding, Clinkerization,Composite Cement"</formula1>
    </dataValidation>
  </dataValidations>
  <printOptions horizontalCentered="1"/>
  <pageMargins left="0.11811023622047245" right="0.1968503937007874" top="0.15748031496062992" bottom="0" header="0.31496062992125984" footer="0.31496062992125984"/>
  <pageSetup fitToHeight="1" fitToWidth="1" orientation="landscape" paperSize="9" r:id="rId1"/>
  <headerFooter>
    <oddFooter>&amp;C&amp;P&amp;RNote: Not to be quoted and not to be published without prior permission</oddFooter>
  </headerFooter>
</worksheet>
</file>

<file path=xl/worksheets/sheet4.xml><?xml version="1.0" encoding="utf-8"?>
<worksheet xmlns="http://schemas.openxmlformats.org/spreadsheetml/2006/main" xmlns:r="http://schemas.openxmlformats.org/officeDocument/2006/relationships">
  <dimension ref="A1:J595"/>
  <sheetViews>
    <sheetView tabSelected="1" zoomScale="90" zoomScaleNormal="90" zoomScalePageLayoutView="0" workbookViewId="0" topLeftCell="A1">
      <selection activeCell="G11" sqref="G11"/>
    </sheetView>
  </sheetViews>
  <sheetFormatPr defaultColWidth="9.140625" defaultRowHeight="15" zeroHeight="1"/>
  <cols>
    <col min="1" max="1" width="8.28125" style="4" customWidth="1"/>
    <col min="2" max="2" width="45.7109375" style="4" customWidth="1"/>
    <col min="3" max="3" width="25.421875" style="4" customWidth="1"/>
    <col min="4" max="4" width="15.140625" style="4" bestFit="1" customWidth="1"/>
    <col min="5" max="5" width="15.140625" style="4" customWidth="1"/>
    <col min="6" max="6" width="15.7109375" style="4" customWidth="1"/>
    <col min="7" max="7" width="18.140625" style="4" customWidth="1"/>
    <col min="8" max="8" width="40.7109375" style="4" customWidth="1"/>
    <col min="9" max="9" width="18.00390625" style="642" customWidth="1"/>
    <col min="10" max="10" width="9.140625" style="642" hidden="1" customWidth="1"/>
    <col min="11" max="16384" width="9.140625" style="642" customWidth="1"/>
  </cols>
  <sheetData>
    <row r="1" spans="1:8" ht="33" customHeight="1">
      <c r="A1" s="1005" t="s">
        <v>1245</v>
      </c>
      <c r="B1" s="1006"/>
      <c r="C1" s="1006"/>
      <c r="D1" s="1006"/>
      <c r="E1" s="1006"/>
      <c r="F1" s="1006"/>
      <c r="G1" s="1006"/>
      <c r="H1" s="1007"/>
    </row>
    <row r="2" spans="1:8" ht="33" customHeight="1">
      <c r="A2" s="1002" t="str">
        <f>'General Information'!A2:G2</f>
        <v>Sector :-  Cement Sector</v>
      </c>
      <c r="B2" s="1003"/>
      <c r="C2" s="1003"/>
      <c r="D2" s="1003"/>
      <c r="E2" s="1003"/>
      <c r="F2" s="1003"/>
      <c r="G2" s="1003"/>
      <c r="H2" s="1004"/>
    </row>
    <row r="3" spans="1:8" ht="28.5" customHeight="1">
      <c r="A3" s="1008" t="str">
        <f>CONCATENATE('General Information'!B3,F2)</f>
        <v>Name of the Unit</v>
      </c>
      <c r="B3" s="1009"/>
      <c r="C3" s="1009" t="str">
        <f>'General Information'!C3&amp;"  "&amp;'General Information'!C8</f>
        <v>  </v>
      </c>
      <c r="D3" s="1009"/>
      <c r="E3" s="1009"/>
      <c r="F3" s="1009"/>
      <c r="G3" s="1009"/>
      <c r="H3" s="1010"/>
    </row>
    <row r="4" spans="1:8" ht="45">
      <c r="A4" s="256" t="s">
        <v>0</v>
      </c>
      <c r="B4" s="257" t="s">
        <v>1</v>
      </c>
      <c r="C4" s="258" t="s">
        <v>630</v>
      </c>
      <c r="D4" s="258" t="s">
        <v>2</v>
      </c>
      <c r="E4" s="258" t="s">
        <v>1610</v>
      </c>
      <c r="F4" s="259" t="s">
        <v>1484</v>
      </c>
      <c r="G4" s="259" t="s">
        <v>1485</v>
      </c>
      <c r="H4" s="586" t="s">
        <v>160</v>
      </c>
    </row>
    <row r="5" spans="1:8" ht="409.5" customHeight="1" hidden="1">
      <c r="A5" s="69"/>
      <c r="B5" s="70"/>
      <c r="C5" s="270"/>
      <c r="D5" s="71"/>
      <c r="E5" s="71"/>
      <c r="F5" s="72"/>
      <c r="G5" s="70"/>
      <c r="H5" s="516"/>
    </row>
    <row r="6" spans="1:8" ht="15">
      <c r="A6" s="431" t="s">
        <v>6</v>
      </c>
      <c r="B6" s="311" t="s">
        <v>5</v>
      </c>
      <c r="C6" s="310"/>
      <c r="D6" s="432"/>
      <c r="E6" s="780" t="s">
        <v>1619</v>
      </c>
      <c r="F6" s="260"/>
      <c r="G6" s="780" t="s">
        <v>1672</v>
      </c>
      <c r="H6" s="587"/>
    </row>
    <row r="7" spans="1:8" ht="15">
      <c r="A7" s="95" t="s">
        <v>63</v>
      </c>
      <c r="B7" s="88" t="s">
        <v>78</v>
      </c>
      <c r="C7" s="89" t="s">
        <v>157</v>
      </c>
      <c r="D7" s="89" t="s">
        <v>76</v>
      </c>
      <c r="E7" s="878"/>
      <c r="F7" s="349" t="e">
        <f>AVERAGEA(E7:E7)</f>
        <v>#DIV/0!</v>
      </c>
      <c r="G7" s="878"/>
      <c r="H7" s="879"/>
    </row>
    <row r="8" spans="1:8" ht="15">
      <c r="A8" s="95" t="s">
        <v>64</v>
      </c>
      <c r="B8" s="88" t="s">
        <v>79</v>
      </c>
      <c r="C8" s="89" t="s">
        <v>157</v>
      </c>
      <c r="D8" s="89" t="s">
        <v>76</v>
      </c>
      <c r="E8" s="878"/>
      <c r="F8" s="349" t="e">
        <f>AVERAGEA(E8:E8)</f>
        <v>#DIV/0!</v>
      </c>
      <c r="G8" s="878"/>
      <c r="H8" s="879"/>
    </row>
    <row r="9" spans="1:8" ht="15">
      <c r="A9" s="95" t="s">
        <v>65</v>
      </c>
      <c r="B9" s="88" t="s">
        <v>80</v>
      </c>
      <c r="C9" s="89" t="s">
        <v>110</v>
      </c>
      <c r="D9" s="89" t="s">
        <v>76</v>
      </c>
      <c r="E9" s="878"/>
      <c r="F9" s="349" t="e">
        <f aca="true" t="shared" si="0" ref="F9:F14">AVERAGEA(E9:E9)</f>
        <v>#DIV/0!</v>
      </c>
      <c r="G9" s="879"/>
      <c r="H9" s="879"/>
    </row>
    <row r="10" spans="1:8" ht="15">
      <c r="A10" s="95" t="s">
        <v>77</v>
      </c>
      <c r="B10" s="88" t="s">
        <v>158</v>
      </c>
      <c r="C10" s="89" t="s">
        <v>110</v>
      </c>
      <c r="D10" s="89" t="s">
        <v>76</v>
      </c>
      <c r="E10" s="878"/>
      <c r="F10" s="349" t="e">
        <f t="shared" si="0"/>
        <v>#DIV/0!</v>
      </c>
      <c r="G10" s="879"/>
      <c r="H10" s="879"/>
    </row>
    <row r="11" spans="1:8" ht="15">
      <c r="A11" s="95" t="s">
        <v>85</v>
      </c>
      <c r="B11" s="425" t="s">
        <v>188</v>
      </c>
      <c r="C11" s="89" t="s">
        <v>110</v>
      </c>
      <c r="D11" s="89" t="s">
        <v>76</v>
      </c>
      <c r="E11" s="894"/>
      <c r="F11" s="349" t="e">
        <f t="shared" si="0"/>
        <v>#DIV/0!</v>
      </c>
      <c r="G11" s="880"/>
      <c r="H11" s="880"/>
    </row>
    <row r="12" spans="1:8" ht="15">
      <c r="A12" s="95" t="s">
        <v>86</v>
      </c>
      <c r="B12" s="88" t="s">
        <v>189</v>
      </c>
      <c r="C12" s="89" t="s">
        <v>110</v>
      </c>
      <c r="D12" s="89" t="s">
        <v>76</v>
      </c>
      <c r="E12" s="894"/>
      <c r="F12" s="349" t="e">
        <f t="shared" si="0"/>
        <v>#DIV/0!</v>
      </c>
      <c r="G12" s="880"/>
      <c r="H12" s="880"/>
    </row>
    <row r="13" spans="1:8" ht="15">
      <c r="A13" s="95" t="s">
        <v>87</v>
      </c>
      <c r="B13" s="88" t="s">
        <v>190</v>
      </c>
      <c r="C13" s="89" t="s">
        <v>110</v>
      </c>
      <c r="D13" s="89" t="s">
        <v>76</v>
      </c>
      <c r="E13" s="894"/>
      <c r="F13" s="349" t="e">
        <f t="shared" si="0"/>
        <v>#DIV/0!</v>
      </c>
      <c r="G13" s="880"/>
      <c r="H13" s="880"/>
    </row>
    <row r="14" spans="1:8" ht="15.75" thickBot="1">
      <c r="A14" s="433" t="s">
        <v>88</v>
      </c>
      <c r="B14" s="434" t="s">
        <v>191</v>
      </c>
      <c r="C14" s="435" t="s">
        <v>110</v>
      </c>
      <c r="D14" s="435" t="s">
        <v>76</v>
      </c>
      <c r="E14" s="894"/>
      <c r="F14" s="349" t="e">
        <f t="shared" si="0"/>
        <v>#DIV/0!</v>
      </c>
      <c r="G14" s="880"/>
      <c r="H14" s="880"/>
    </row>
    <row r="15" spans="1:8" ht="15.75" thickBot="1">
      <c r="A15" s="53" t="s">
        <v>89</v>
      </c>
      <c r="B15" s="51" t="s">
        <v>1063</v>
      </c>
      <c r="C15" s="53" t="s">
        <v>107</v>
      </c>
      <c r="D15" s="53" t="s">
        <v>3</v>
      </c>
      <c r="E15" s="324">
        <f>IF(E7=0,(0),(E9*100/E7))</f>
        <v>0</v>
      </c>
      <c r="F15" s="324" t="e">
        <f>IF(F7=0,(0),(F9*100/F7))</f>
        <v>#DIV/0!</v>
      </c>
      <c r="G15" s="324">
        <f>IF(G7=0,(0),(G9*100/G7))</f>
        <v>0</v>
      </c>
      <c r="H15" s="590"/>
    </row>
    <row r="16" spans="1:8" ht="15.75" thickBot="1">
      <c r="A16" s="289" t="s">
        <v>90</v>
      </c>
      <c r="B16" s="288" t="s">
        <v>1064</v>
      </c>
      <c r="C16" s="289" t="s">
        <v>108</v>
      </c>
      <c r="D16" s="289" t="s">
        <v>3</v>
      </c>
      <c r="E16" s="325">
        <f>IF(E8=0,0,E10*100/E8)</f>
        <v>0</v>
      </c>
      <c r="F16" s="325" t="e">
        <f>IF(F8=0,0,F10*100/F8)</f>
        <v>#DIV/0!</v>
      </c>
      <c r="G16" s="325">
        <f>IF(G8=0,0,G10*100/G8)</f>
        <v>0</v>
      </c>
      <c r="H16" s="346"/>
    </row>
    <row r="17" spans="1:8" ht="15">
      <c r="A17" s="112" t="s">
        <v>95</v>
      </c>
      <c r="B17" s="436" t="s">
        <v>81</v>
      </c>
      <c r="C17" s="437" t="s">
        <v>110</v>
      </c>
      <c r="D17" s="438" t="s">
        <v>76</v>
      </c>
      <c r="E17" s="878"/>
      <c r="F17" s="430" t="e">
        <f aca="true" t="shared" si="1" ref="F17:F26">AVERAGEA(E17:E17)</f>
        <v>#DIV/0!</v>
      </c>
      <c r="G17" s="880"/>
      <c r="H17" s="880"/>
    </row>
    <row r="18" spans="1:8" ht="15">
      <c r="A18" s="95" t="s">
        <v>96</v>
      </c>
      <c r="B18" s="833" t="s">
        <v>82</v>
      </c>
      <c r="C18" s="89" t="s">
        <v>110</v>
      </c>
      <c r="D18" s="91" t="s">
        <v>76</v>
      </c>
      <c r="E18" s="878"/>
      <c r="F18" s="349" t="e">
        <f t="shared" si="1"/>
        <v>#DIV/0!</v>
      </c>
      <c r="G18" s="880"/>
      <c r="H18" s="880"/>
    </row>
    <row r="19" spans="1:8" ht="15" customHeight="1">
      <c r="A19" s="95" t="s">
        <v>97</v>
      </c>
      <c r="B19" s="833" t="s">
        <v>459</v>
      </c>
      <c r="C19" s="89" t="s">
        <v>110</v>
      </c>
      <c r="D19" s="91" t="s">
        <v>76</v>
      </c>
      <c r="E19" s="878"/>
      <c r="F19" s="349" t="e">
        <f t="shared" si="1"/>
        <v>#DIV/0!</v>
      </c>
      <c r="G19" s="778"/>
      <c r="H19" s="777"/>
    </row>
    <row r="20" spans="1:8" ht="15" customHeight="1">
      <c r="A20" s="112" t="s">
        <v>164</v>
      </c>
      <c r="B20" s="833" t="s">
        <v>1657</v>
      </c>
      <c r="C20" s="89" t="s">
        <v>110</v>
      </c>
      <c r="D20" s="91" t="s">
        <v>76</v>
      </c>
      <c r="E20" s="871"/>
      <c r="F20" s="349" t="e">
        <f t="shared" si="1"/>
        <v>#DIV/0!</v>
      </c>
      <c r="G20" s="778"/>
      <c r="H20" s="777"/>
    </row>
    <row r="21" spans="1:8" ht="15" customHeight="1">
      <c r="A21" s="95" t="s">
        <v>165</v>
      </c>
      <c r="B21" s="88" t="s">
        <v>170</v>
      </c>
      <c r="C21" s="89" t="s">
        <v>110</v>
      </c>
      <c r="D21" s="91" t="s">
        <v>76</v>
      </c>
      <c r="E21" s="878"/>
      <c r="F21" s="349" t="e">
        <f t="shared" si="1"/>
        <v>#DIV/0!</v>
      </c>
      <c r="G21" s="880"/>
      <c r="H21" s="880"/>
    </row>
    <row r="22" spans="1:8" ht="15" customHeight="1">
      <c r="A22" s="95" t="s">
        <v>166</v>
      </c>
      <c r="B22" s="88" t="s">
        <v>134</v>
      </c>
      <c r="C22" s="89" t="s">
        <v>110</v>
      </c>
      <c r="D22" s="91" t="s">
        <v>76</v>
      </c>
      <c r="E22" s="878"/>
      <c r="F22" s="349" t="e">
        <f>AVERAGEA(E22:E22)</f>
        <v>#DIV/0!</v>
      </c>
      <c r="G22" s="878"/>
      <c r="H22" s="881"/>
    </row>
    <row r="23" spans="1:8" ht="15">
      <c r="A23" s="112" t="s">
        <v>171</v>
      </c>
      <c r="B23" s="88" t="s">
        <v>92</v>
      </c>
      <c r="C23" s="89" t="s">
        <v>110</v>
      </c>
      <c r="D23" s="91" t="s">
        <v>76</v>
      </c>
      <c r="E23" s="878"/>
      <c r="F23" s="349" t="e">
        <f t="shared" si="1"/>
        <v>#DIV/0!</v>
      </c>
      <c r="G23" s="880"/>
      <c r="H23" s="880"/>
    </row>
    <row r="24" spans="1:8" ht="15">
      <c r="A24" s="95" t="s">
        <v>172</v>
      </c>
      <c r="B24" s="88" t="s">
        <v>91</v>
      </c>
      <c r="C24" s="89" t="s">
        <v>110</v>
      </c>
      <c r="D24" s="91" t="s">
        <v>76</v>
      </c>
      <c r="E24" s="878"/>
      <c r="F24" s="349" t="e">
        <f t="shared" si="1"/>
        <v>#DIV/0!</v>
      </c>
      <c r="G24" s="880"/>
      <c r="H24" s="880"/>
    </row>
    <row r="25" spans="1:8" ht="15">
      <c r="A25" s="95" t="s">
        <v>184</v>
      </c>
      <c r="B25" s="88" t="s">
        <v>93</v>
      </c>
      <c r="C25" s="89" t="s">
        <v>110</v>
      </c>
      <c r="D25" s="91" t="s">
        <v>76</v>
      </c>
      <c r="E25" s="878"/>
      <c r="F25" s="349" t="e">
        <f t="shared" si="1"/>
        <v>#DIV/0!</v>
      </c>
      <c r="G25" s="880"/>
      <c r="H25" s="880"/>
    </row>
    <row r="26" spans="1:8" ht="15">
      <c r="A26" s="112" t="s">
        <v>185</v>
      </c>
      <c r="B26" s="88" t="s">
        <v>94</v>
      </c>
      <c r="C26" s="89" t="s">
        <v>110</v>
      </c>
      <c r="D26" s="91" t="s">
        <v>76</v>
      </c>
      <c r="E26" s="878"/>
      <c r="F26" s="349" t="e">
        <f t="shared" si="1"/>
        <v>#DIV/0!</v>
      </c>
      <c r="G26" s="880"/>
      <c r="H26" s="880"/>
    </row>
    <row r="27" spans="1:8" ht="15">
      <c r="A27" s="95" t="s">
        <v>186</v>
      </c>
      <c r="B27" s="88" t="s">
        <v>161</v>
      </c>
      <c r="C27" s="89" t="s">
        <v>110</v>
      </c>
      <c r="D27" s="91" t="s">
        <v>136</v>
      </c>
      <c r="E27" s="894"/>
      <c r="F27" s="349">
        <f>_xlfn.IFERROR(_xlfn.AVERAGEIF(E27:E27,"&gt;0",E27:E27),0)</f>
        <v>0</v>
      </c>
      <c r="G27" s="880"/>
      <c r="H27" s="880"/>
    </row>
    <row r="28" spans="1:8" ht="15">
      <c r="A28" s="95" t="s">
        <v>187</v>
      </c>
      <c r="B28" s="88" t="s">
        <v>162</v>
      </c>
      <c r="C28" s="89" t="s">
        <v>110</v>
      </c>
      <c r="D28" s="91" t="s">
        <v>136</v>
      </c>
      <c r="E28" s="894"/>
      <c r="F28" s="349">
        <f>_xlfn.IFERROR(_xlfn.AVERAGEIF(E28:E28,"&gt;0",E28:E28),0)</f>
        <v>0</v>
      </c>
      <c r="G28" s="880"/>
      <c r="H28" s="880"/>
    </row>
    <row r="29" spans="1:8" ht="15">
      <c r="A29" s="112" t="s">
        <v>1656</v>
      </c>
      <c r="B29" s="88" t="s">
        <v>641</v>
      </c>
      <c r="C29" s="89" t="s">
        <v>110</v>
      </c>
      <c r="D29" s="91" t="s">
        <v>136</v>
      </c>
      <c r="E29" s="894"/>
      <c r="F29" s="349">
        <f>_xlfn.IFERROR(_xlfn.AVERAGEIF(E29:E29,"&gt;0",E29:E29),0)</f>
        <v>0</v>
      </c>
      <c r="G29" s="778"/>
      <c r="H29" s="37"/>
    </row>
    <row r="30" spans="1:8" ht="15">
      <c r="A30" s="112" t="s">
        <v>1658</v>
      </c>
      <c r="B30" s="833" t="s">
        <v>1659</v>
      </c>
      <c r="C30" s="89" t="s">
        <v>110</v>
      </c>
      <c r="D30" s="91" t="s">
        <v>136</v>
      </c>
      <c r="E30" s="778"/>
      <c r="F30" s="349">
        <f>_xlfn.IFERROR(_xlfn.AVERAGEIF(E30:E30,"&gt;0",E30:E30),0)</f>
        <v>0</v>
      </c>
      <c r="G30" s="778"/>
      <c r="H30" s="876"/>
    </row>
    <row r="31" spans="1:8" ht="15">
      <c r="A31" s="439"/>
      <c r="B31" s="439" t="s">
        <v>1139</v>
      </c>
      <c r="C31" s="89"/>
      <c r="D31" s="91"/>
      <c r="E31" s="91"/>
      <c r="F31" s="326"/>
      <c r="G31" s="45"/>
      <c r="H31" s="592"/>
    </row>
    <row r="32" spans="1:8" ht="15.75" thickBot="1">
      <c r="A32" s="812" t="s">
        <v>7</v>
      </c>
      <c r="B32" s="494" t="s">
        <v>1583</v>
      </c>
      <c r="C32" s="486"/>
      <c r="D32" s="486"/>
      <c r="E32" s="378"/>
      <c r="F32" s="813"/>
      <c r="G32" s="253"/>
      <c r="H32" s="529"/>
    </row>
    <row r="33" spans="1:8" ht="15">
      <c r="A33" s="801" t="s">
        <v>298</v>
      </c>
      <c r="B33" s="802" t="s">
        <v>383</v>
      </c>
      <c r="C33" s="788" t="s">
        <v>110</v>
      </c>
      <c r="D33" s="788" t="s">
        <v>76</v>
      </c>
      <c r="E33" s="878">
        <v>0</v>
      </c>
      <c r="F33" s="789">
        <f>AVERAGEA(E33:E33)</f>
        <v>0</v>
      </c>
      <c r="G33" s="880"/>
      <c r="H33" s="880"/>
    </row>
    <row r="34" spans="1:8" ht="15">
      <c r="A34" s="517" t="s">
        <v>299</v>
      </c>
      <c r="B34" s="88" t="s">
        <v>273</v>
      </c>
      <c r="C34" s="89" t="s">
        <v>110</v>
      </c>
      <c r="D34" s="89" t="s">
        <v>275</v>
      </c>
      <c r="E34" s="878"/>
      <c r="F34" s="790">
        <f>_xlfn.IFERROR(_xlfn.AVERAGEIF(E34:E34,"&gt;0",E34:E34),0)</f>
        <v>0</v>
      </c>
      <c r="G34" s="880"/>
      <c r="H34" s="880"/>
    </row>
    <row r="35" spans="1:8" ht="15">
      <c r="A35" s="517" t="s">
        <v>300</v>
      </c>
      <c r="B35" s="88" t="s">
        <v>642</v>
      </c>
      <c r="C35" s="89" t="s">
        <v>110</v>
      </c>
      <c r="D35" s="89" t="s">
        <v>415</v>
      </c>
      <c r="E35" s="878"/>
      <c r="F35" s="790">
        <f>_xlfn.IFERROR(_xlfn.AVERAGEIF(E35:E35,"&gt;0",E35:E35),0)</f>
        <v>0</v>
      </c>
      <c r="G35" s="880"/>
      <c r="H35" s="880"/>
    </row>
    <row r="36" spans="1:8" ht="15">
      <c r="A36" s="517" t="s">
        <v>416</v>
      </c>
      <c r="B36" s="88" t="s">
        <v>274</v>
      </c>
      <c r="C36" s="89" t="s">
        <v>110</v>
      </c>
      <c r="D36" s="89" t="s">
        <v>509</v>
      </c>
      <c r="E36" s="878">
        <v>0</v>
      </c>
      <c r="F36" s="790">
        <f aca="true" t="shared" si="2" ref="F36:F45">AVERAGEA(E36:E36)</f>
        <v>0</v>
      </c>
      <c r="G36" s="882"/>
      <c r="H36" s="880"/>
    </row>
    <row r="37" spans="1:8" ht="15">
      <c r="A37" s="440" t="s">
        <v>513</v>
      </c>
      <c r="B37" s="444" t="s">
        <v>1225</v>
      </c>
      <c r="C37" s="445" t="s">
        <v>110</v>
      </c>
      <c r="D37" s="445" t="s">
        <v>509</v>
      </c>
      <c r="E37" s="778">
        <v>0</v>
      </c>
      <c r="F37" s="790">
        <f t="shared" si="2"/>
        <v>0</v>
      </c>
      <c r="G37" s="882"/>
      <c r="H37" s="880"/>
    </row>
    <row r="38" spans="1:8" ht="15">
      <c r="A38" s="440" t="s">
        <v>633</v>
      </c>
      <c r="B38" s="444" t="s">
        <v>1195</v>
      </c>
      <c r="C38" s="445" t="s">
        <v>110</v>
      </c>
      <c r="D38" s="445" t="s">
        <v>509</v>
      </c>
      <c r="E38" s="778">
        <v>0</v>
      </c>
      <c r="F38" s="790">
        <f t="shared" si="2"/>
        <v>0</v>
      </c>
      <c r="G38" s="882"/>
      <c r="H38" s="880"/>
    </row>
    <row r="39" spans="1:8" ht="15">
      <c r="A39" s="440" t="s">
        <v>634</v>
      </c>
      <c r="B39" s="444" t="s">
        <v>1195</v>
      </c>
      <c r="C39" s="445" t="s">
        <v>110</v>
      </c>
      <c r="D39" s="445" t="s">
        <v>697</v>
      </c>
      <c r="E39" s="778">
        <v>0</v>
      </c>
      <c r="F39" s="790">
        <f t="shared" si="2"/>
        <v>0</v>
      </c>
      <c r="G39" s="882"/>
      <c r="H39" s="880"/>
    </row>
    <row r="40" spans="1:8" ht="30">
      <c r="A40" s="440" t="s">
        <v>698</v>
      </c>
      <c r="B40" s="444" t="s">
        <v>1196</v>
      </c>
      <c r="C40" s="445" t="s">
        <v>110</v>
      </c>
      <c r="D40" s="445" t="s">
        <v>99</v>
      </c>
      <c r="E40" s="778">
        <v>0</v>
      </c>
      <c r="F40" s="790">
        <f t="shared" si="2"/>
        <v>0</v>
      </c>
      <c r="G40" s="882"/>
      <c r="H40" s="880"/>
    </row>
    <row r="41" spans="1:8" ht="15">
      <c r="A41" s="440" t="s">
        <v>755</v>
      </c>
      <c r="B41" s="444" t="s">
        <v>699</v>
      </c>
      <c r="C41" s="445" t="s">
        <v>110</v>
      </c>
      <c r="D41" s="445" t="s">
        <v>509</v>
      </c>
      <c r="E41" s="778">
        <v>0</v>
      </c>
      <c r="F41" s="790">
        <f t="shared" si="2"/>
        <v>0</v>
      </c>
      <c r="G41" s="882"/>
      <c r="H41" s="880"/>
    </row>
    <row r="42" spans="1:8" ht="15">
      <c r="A42" s="440" t="s">
        <v>767</v>
      </c>
      <c r="B42" s="444" t="s">
        <v>699</v>
      </c>
      <c r="C42" s="445" t="s">
        <v>110</v>
      </c>
      <c r="D42" s="445" t="s">
        <v>697</v>
      </c>
      <c r="E42" s="778">
        <v>0</v>
      </c>
      <c r="F42" s="790">
        <f t="shared" si="2"/>
        <v>0</v>
      </c>
      <c r="G42" s="882"/>
      <c r="H42" s="880"/>
    </row>
    <row r="43" spans="1:8" ht="30">
      <c r="A43" s="440" t="s">
        <v>768</v>
      </c>
      <c r="B43" s="444" t="s">
        <v>811</v>
      </c>
      <c r="C43" s="445" t="s">
        <v>110</v>
      </c>
      <c r="D43" s="445" t="s">
        <v>99</v>
      </c>
      <c r="E43" s="778">
        <v>0</v>
      </c>
      <c r="F43" s="790">
        <f t="shared" si="2"/>
        <v>0</v>
      </c>
      <c r="G43" s="882"/>
      <c r="H43" s="880"/>
    </row>
    <row r="44" spans="1:8" ht="15.75" thickBot="1">
      <c r="A44" s="783" t="s">
        <v>790</v>
      </c>
      <c r="B44" s="444" t="s">
        <v>812</v>
      </c>
      <c r="C44" s="445" t="s">
        <v>110</v>
      </c>
      <c r="D44" s="445" t="s">
        <v>697</v>
      </c>
      <c r="E44" s="895">
        <v>0</v>
      </c>
      <c r="F44" s="790">
        <f t="shared" si="2"/>
        <v>0</v>
      </c>
      <c r="G44" s="883"/>
      <c r="H44" s="880"/>
    </row>
    <row r="45" spans="1:8" ht="15">
      <c r="A45" s="783" t="s">
        <v>1631</v>
      </c>
      <c r="B45" s="785" t="s">
        <v>1635</v>
      </c>
      <c r="C45" s="445" t="s">
        <v>110</v>
      </c>
      <c r="D45" s="89" t="s">
        <v>76</v>
      </c>
      <c r="E45" s="880">
        <v>0</v>
      </c>
      <c r="F45" s="790">
        <f t="shared" si="2"/>
        <v>0</v>
      </c>
      <c r="G45" s="880"/>
      <c r="H45" s="880"/>
    </row>
    <row r="46" spans="1:8" ht="15.75" thickBot="1">
      <c r="A46" s="791" t="s">
        <v>1632</v>
      </c>
      <c r="B46" s="792" t="s">
        <v>1650</v>
      </c>
      <c r="C46" s="793" t="s">
        <v>110</v>
      </c>
      <c r="D46" s="794" t="s">
        <v>1630</v>
      </c>
      <c r="E46" s="880"/>
      <c r="F46" s="795">
        <f>_xlfn.IFERROR(_xlfn.AVERAGEIF(E46:E46,"&gt;0",E46:E46),0)</f>
        <v>0</v>
      </c>
      <c r="G46" s="880"/>
      <c r="H46" s="880"/>
    </row>
    <row r="47" spans="1:8" ht="15">
      <c r="A47" s="810" t="s">
        <v>301</v>
      </c>
      <c r="B47" s="436" t="s">
        <v>384</v>
      </c>
      <c r="C47" s="437" t="s">
        <v>110</v>
      </c>
      <c r="D47" s="437" t="s">
        <v>76</v>
      </c>
      <c r="E47" s="878">
        <v>0</v>
      </c>
      <c r="F47" s="811">
        <f>AVERAGEA(E47:E47)</f>
        <v>0</v>
      </c>
      <c r="G47" s="880"/>
      <c r="H47" s="880"/>
    </row>
    <row r="48" spans="1:8" ht="15">
      <c r="A48" s="517" t="s">
        <v>302</v>
      </c>
      <c r="B48" s="88" t="s">
        <v>276</v>
      </c>
      <c r="C48" s="89" t="s">
        <v>110</v>
      </c>
      <c r="D48" s="89" t="s">
        <v>275</v>
      </c>
      <c r="E48" s="878"/>
      <c r="F48" s="806">
        <f>_xlfn.IFERROR(_xlfn.AVERAGEIF(E48:E48,"&gt;0",E48:E48),0)</f>
        <v>0</v>
      </c>
      <c r="G48" s="880"/>
      <c r="H48" s="880"/>
    </row>
    <row r="49" spans="1:8" ht="15">
      <c r="A49" s="517" t="s">
        <v>514</v>
      </c>
      <c r="B49" s="88" t="s">
        <v>643</v>
      </c>
      <c r="C49" s="89" t="s">
        <v>110</v>
      </c>
      <c r="D49" s="89" t="s">
        <v>415</v>
      </c>
      <c r="E49" s="878"/>
      <c r="F49" s="806">
        <f>_xlfn.IFERROR(_xlfn.AVERAGEIF(E49:E49,"&gt;0",E49:E49),0)</f>
        <v>0</v>
      </c>
      <c r="G49" s="880"/>
      <c r="H49" s="880"/>
    </row>
    <row r="50" spans="1:8" ht="15">
      <c r="A50" s="440" t="s">
        <v>515</v>
      </c>
      <c r="B50" s="444" t="s">
        <v>277</v>
      </c>
      <c r="C50" s="445" t="s">
        <v>110</v>
      </c>
      <c r="D50" s="89" t="s">
        <v>509</v>
      </c>
      <c r="E50" s="878">
        <v>0</v>
      </c>
      <c r="F50" s="806">
        <f aca="true" t="shared" si="3" ref="F50:F59">AVERAGEA(E50:E50)</f>
        <v>0</v>
      </c>
      <c r="G50" s="878"/>
      <c r="H50" s="880"/>
    </row>
    <row r="51" spans="1:8" ht="15">
      <c r="A51" s="440" t="s">
        <v>525</v>
      </c>
      <c r="B51" s="444" t="s">
        <v>1226</v>
      </c>
      <c r="C51" s="445" t="s">
        <v>110</v>
      </c>
      <c r="D51" s="445" t="s">
        <v>509</v>
      </c>
      <c r="E51" s="778">
        <v>0</v>
      </c>
      <c r="F51" s="806">
        <f t="shared" si="3"/>
        <v>0</v>
      </c>
      <c r="G51" s="878"/>
      <c r="H51" s="880"/>
    </row>
    <row r="52" spans="1:8" ht="15">
      <c r="A52" s="440" t="s">
        <v>635</v>
      </c>
      <c r="B52" s="444" t="s">
        <v>770</v>
      </c>
      <c r="C52" s="445" t="s">
        <v>110</v>
      </c>
      <c r="D52" s="445" t="s">
        <v>509</v>
      </c>
      <c r="E52" s="778">
        <v>0</v>
      </c>
      <c r="F52" s="806">
        <f t="shared" si="3"/>
        <v>0</v>
      </c>
      <c r="G52" s="878"/>
      <c r="H52" s="880"/>
    </row>
    <row r="53" spans="1:8" ht="15">
      <c r="A53" s="440" t="s">
        <v>636</v>
      </c>
      <c r="B53" s="444" t="s">
        <v>770</v>
      </c>
      <c r="C53" s="445" t="s">
        <v>110</v>
      </c>
      <c r="D53" s="445" t="s">
        <v>697</v>
      </c>
      <c r="E53" s="778">
        <v>0</v>
      </c>
      <c r="F53" s="806">
        <f t="shared" si="3"/>
        <v>0</v>
      </c>
      <c r="G53" s="878"/>
      <c r="H53" s="880"/>
    </row>
    <row r="54" spans="1:8" ht="30">
      <c r="A54" s="440" t="s">
        <v>700</v>
      </c>
      <c r="B54" s="444" t="s">
        <v>810</v>
      </c>
      <c r="C54" s="445" t="s">
        <v>110</v>
      </c>
      <c r="D54" s="445" t="s">
        <v>99</v>
      </c>
      <c r="E54" s="778">
        <v>0</v>
      </c>
      <c r="F54" s="806">
        <f t="shared" si="3"/>
        <v>0</v>
      </c>
      <c r="G54" s="878"/>
      <c r="H54" s="880"/>
    </row>
    <row r="55" spans="1:8" ht="15">
      <c r="A55" s="440" t="s">
        <v>791</v>
      </c>
      <c r="B55" s="444" t="s">
        <v>771</v>
      </c>
      <c r="C55" s="445" t="s">
        <v>110</v>
      </c>
      <c r="D55" s="445" t="s">
        <v>509</v>
      </c>
      <c r="E55" s="778">
        <v>0</v>
      </c>
      <c r="F55" s="806">
        <f t="shared" si="3"/>
        <v>0</v>
      </c>
      <c r="G55" s="878"/>
      <c r="H55" s="880"/>
    </row>
    <row r="56" spans="1:8" ht="15">
      <c r="A56" s="440" t="s">
        <v>792</v>
      </c>
      <c r="B56" s="444" t="s">
        <v>771</v>
      </c>
      <c r="C56" s="445" t="s">
        <v>110</v>
      </c>
      <c r="D56" s="445" t="s">
        <v>697</v>
      </c>
      <c r="E56" s="778">
        <v>0</v>
      </c>
      <c r="F56" s="806">
        <f t="shared" si="3"/>
        <v>0</v>
      </c>
      <c r="G56" s="878"/>
      <c r="H56" s="880"/>
    </row>
    <row r="57" spans="1:8" ht="30">
      <c r="A57" s="783" t="s">
        <v>793</v>
      </c>
      <c r="B57" s="444" t="s">
        <v>803</v>
      </c>
      <c r="C57" s="445" t="s">
        <v>110</v>
      </c>
      <c r="D57" s="445" t="s">
        <v>99</v>
      </c>
      <c r="E57" s="778">
        <v>0</v>
      </c>
      <c r="F57" s="806">
        <f t="shared" si="3"/>
        <v>0</v>
      </c>
      <c r="G57" s="878"/>
      <c r="H57" s="880"/>
    </row>
    <row r="58" spans="1:8" ht="15.75" thickBot="1">
      <c r="A58" s="783" t="s">
        <v>1197</v>
      </c>
      <c r="B58" s="444" t="s">
        <v>813</v>
      </c>
      <c r="C58" s="445" t="s">
        <v>110</v>
      </c>
      <c r="D58" s="445" t="s">
        <v>697</v>
      </c>
      <c r="E58" s="895">
        <v>0</v>
      </c>
      <c r="F58" s="806">
        <f t="shared" si="3"/>
        <v>0</v>
      </c>
      <c r="G58" s="884"/>
      <c r="H58" s="880"/>
    </row>
    <row r="59" spans="1:8" ht="15">
      <c r="A59" s="783" t="s">
        <v>1633</v>
      </c>
      <c r="B59" s="785" t="s">
        <v>1634</v>
      </c>
      <c r="C59" s="445" t="s">
        <v>110</v>
      </c>
      <c r="D59" s="89" t="s">
        <v>76</v>
      </c>
      <c r="E59" s="880">
        <v>0</v>
      </c>
      <c r="F59" s="807">
        <f t="shared" si="3"/>
        <v>0</v>
      </c>
      <c r="G59" s="880"/>
      <c r="H59" s="880"/>
    </row>
    <row r="60" spans="1:8" ht="15.75" thickBot="1">
      <c r="A60" s="791" t="s">
        <v>1636</v>
      </c>
      <c r="B60" s="792" t="s">
        <v>1651</v>
      </c>
      <c r="C60" s="793" t="s">
        <v>110</v>
      </c>
      <c r="D60" s="794" t="s">
        <v>1630</v>
      </c>
      <c r="E60" s="880"/>
      <c r="F60" s="808">
        <f>_xlfn.IFERROR(_xlfn.AVERAGEIF(E60:E60,"&gt;0",E60:E60),0)</f>
        <v>0</v>
      </c>
      <c r="G60" s="880"/>
      <c r="H60" s="880"/>
    </row>
    <row r="61" spans="1:8" ht="15">
      <c r="A61" s="809" t="s">
        <v>303</v>
      </c>
      <c r="B61" s="799" t="s">
        <v>385</v>
      </c>
      <c r="C61" s="800" t="s">
        <v>110</v>
      </c>
      <c r="D61" s="800" t="s">
        <v>76</v>
      </c>
      <c r="E61" s="778">
        <v>0</v>
      </c>
      <c r="F61" s="790">
        <f>AVERAGEA(E61:E61)</f>
        <v>0</v>
      </c>
      <c r="G61" s="880"/>
      <c r="H61" s="880"/>
    </row>
    <row r="62" spans="1:8" ht="15">
      <c r="A62" s="440" t="s">
        <v>304</v>
      </c>
      <c r="B62" s="444" t="s">
        <v>278</v>
      </c>
      <c r="C62" s="445" t="s">
        <v>110</v>
      </c>
      <c r="D62" s="445" t="s">
        <v>275</v>
      </c>
      <c r="E62" s="778">
        <v>0</v>
      </c>
      <c r="F62" s="790">
        <f>_xlfn.IFERROR(_xlfn.AVERAGEIF(E62:E62,"&gt;0",E62:E62),0)</f>
        <v>0</v>
      </c>
      <c r="G62" s="880"/>
      <c r="H62" s="880"/>
    </row>
    <row r="63" spans="1:8" ht="15">
      <c r="A63" s="440" t="s">
        <v>518</v>
      </c>
      <c r="B63" s="444" t="s">
        <v>644</v>
      </c>
      <c r="C63" s="445" t="s">
        <v>110</v>
      </c>
      <c r="D63" s="445" t="s">
        <v>415</v>
      </c>
      <c r="E63" s="778">
        <v>0</v>
      </c>
      <c r="F63" s="790">
        <f>_xlfn.IFERROR(_xlfn.AVERAGEIF(E63:E63,"&gt;0",E63:E63),0)</f>
        <v>0</v>
      </c>
      <c r="G63" s="882"/>
      <c r="H63" s="880"/>
    </row>
    <row r="64" spans="1:8" ht="15">
      <c r="A64" s="440" t="s">
        <v>517</v>
      </c>
      <c r="B64" s="444" t="s">
        <v>279</v>
      </c>
      <c r="C64" s="445" t="s">
        <v>110</v>
      </c>
      <c r="D64" s="89" t="s">
        <v>509</v>
      </c>
      <c r="E64" s="778">
        <v>0</v>
      </c>
      <c r="F64" s="790">
        <f aca="true" t="shared" si="4" ref="F64:F73">AVERAGEA(E64:E64)</f>
        <v>0</v>
      </c>
      <c r="G64" s="882"/>
      <c r="H64" s="880"/>
    </row>
    <row r="65" spans="1:8" ht="15">
      <c r="A65" s="440" t="s">
        <v>516</v>
      </c>
      <c r="B65" s="444" t="s">
        <v>1227</v>
      </c>
      <c r="C65" s="445" t="s">
        <v>110</v>
      </c>
      <c r="D65" s="445" t="s">
        <v>509</v>
      </c>
      <c r="E65" s="778">
        <v>0</v>
      </c>
      <c r="F65" s="790">
        <f t="shared" si="4"/>
        <v>0</v>
      </c>
      <c r="G65" s="882"/>
      <c r="H65" s="880"/>
    </row>
    <row r="66" spans="1:8" ht="15">
      <c r="A66" s="440" t="s">
        <v>631</v>
      </c>
      <c r="B66" s="444" t="s">
        <v>772</v>
      </c>
      <c r="C66" s="445" t="s">
        <v>110</v>
      </c>
      <c r="D66" s="445" t="s">
        <v>509</v>
      </c>
      <c r="E66" s="778">
        <v>0</v>
      </c>
      <c r="F66" s="790">
        <f t="shared" si="4"/>
        <v>0</v>
      </c>
      <c r="G66" s="882"/>
      <c r="H66" s="880"/>
    </row>
    <row r="67" spans="1:8" ht="15">
      <c r="A67" s="440" t="s">
        <v>632</v>
      </c>
      <c r="B67" s="444" t="s">
        <v>772</v>
      </c>
      <c r="C67" s="445" t="s">
        <v>110</v>
      </c>
      <c r="D67" s="445" t="s">
        <v>697</v>
      </c>
      <c r="E67" s="778">
        <v>0</v>
      </c>
      <c r="F67" s="790">
        <f t="shared" si="4"/>
        <v>0</v>
      </c>
      <c r="G67" s="882"/>
      <c r="H67" s="880"/>
    </row>
    <row r="68" spans="1:8" ht="30">
      <c r="A68" s="440" t="s">
        <v>701</v>
      </c>
      <c r="B68" s="444" t="s">
        <v>802</v>
      </c>
      <c r="C68" s="445" t="s">
        <v>110</v>
      </c>
      <c r="D68" s="445" t="s">
        <v>99</v>
      </c>
      <c r="E68" s="778">
        <v>0</v>
      </c>
      <c r="F68" s="790">
        <f t="shared" si="4"/>
        <v>0</v>
      </c>
      <c r="G68" s="882"/>
      <c r="H68" s="880"/>
    </row>
    <row r="69" spans="1:8" ht="15">
      <c r="A69" s="440" t="s">
        <v>794</v>
      </c>
      <c r="B69" s="444" t="s">
        <v>773</v>
      </c>
      <c r="C69" s="445" t="s">
        <v>110</v>
      </c>
      <c r="D69" s="445" t="s">
        <v>509</v>
      </c>
      <c r="E69" s="778">
        <v>0</v>
      </c>
      <c r="F69" s="790">
        <f t="shared" si="4"/>
        <v>0</v>
      </c>
      <c r="G69" s="882"/>
      <c r="H69" s="880"/>
    </row>
    <row r="70" spans="1:8" ht="15">
      <c r="A70" s="440" t="s">
        <v>795</v>
      </c>
      <c r="B70" s="444" t="s">
        <v>773</v>
      </c>
      <c r="C70" s="445" t="s">
        <v>110</v>
      </c>
      <c r="D70" s="445" t="s">
        <v>697</v>
      </c>
      <c r="E70" s="778">
        <v>0</v>
      </c>
      <c r="F70" s="790">
        <f t="shared" si="4"/>
        <v>0</v>
      </c>
      <c r="G70" s="882"/>
      <c r="H70" s="880"/>
    </row>
    <row r="71" spans="1:8" ht="30">
      <c r="A71" s="440" t="s">
        <v>796</v>
      </c>
      <c r="B71" s="444" t="s">
        <v>801</v>
      </c>
      <c r="C71" s="445" t="s">
        <v>110</v>
      </c>
      <c r="D71" s="445" t="s">
        <v>99</v>
      </c>
      <c r="E71" s="778">
        <v>0</v>
      </c>
      <c r="F71" s="790">
        <f t="shared" si="4"/>
        <v>0</v>
      </c>
      <c r="G71" s="882"/>
      <c r="H71" s="880"/>
    </row>
    <row r="72" spans="1:8" ht="15">
      <c r="A72" s="440" t="s">
        <v>1198</v>
      </c>
      <c r="B72" s="444" t="s">
        <v>814</v>
      </c>
      <c r="C72" s="445" t="s">
        <v>110</v>
      </c>
      <c r="D72" s="445" t="s">
        <v>697</v>
      </c>
      <c r="E72" s="778">
        <v>0</v>
      </c>
      <c r="F72" s="790">
        <f t="shared" si="4"/>
        <v>0</v>
      </c>
      <c r="G72" s="883"/>
      <c r="H72" s="880"/>
    </row>
    <row r="73" spans="1:8" ht="15">
      <c r="A73" s="783" t="s">
        <v>1637</v>
      </c>
      <c r="B73" s="785" t="s">
        <v>1639</v>
      </c>
      <c r="C73" s="445" t="s">
        <v>110</v>
      </c>
      <c r="D73" s="89" t="s">
        <v>76</v>
      </c>
      <c r="E73" s="778">
        <v>0</v>
      </c>
      <c r="F73" s="790">
        <f t="shared" si="4"/>
        <v>0</v>
      </c>
      <c r="G73" s="880"/>
      <c r="H73" s="880"/>
    </row>
    <row r="74" spans="1:8" ht="15.75" thickBot="1">
      <c r="A74" s="784" t="s">
        <v>1638</v>
      </c>
      <c r="B74" s="796" t="s">
        <v>1652</v>
      </c>
      <c r="C74" s="442" t="s">
        <v>110</v>
      </c>
      <c r="D74" s="797" t="s">
        <v>1630</v>
      </c>
      <c r="E74" s="875">
        <v>0</v>
      </c>
      <c r="F74" s="798">
        <f>_xlfn.IFERROR(_xlfn.AVERAGEIF(E74:E74,"&gt;0",E74:E74),0)</f>
        <v>0</v>
      </c>
      <c r="G74" s="885"/>
      <c r="H74" s="880"/>
    </row>
    <row r="75" spans="1:8" ht="15">
      <c r="A75" s="801" t="s">
        <v>305</v>
      </c>
      <c r="B75" s="802" t="s">
        <v>386</v>
      </c>
      <c r="C75" s="788" t="s">
        <v>110</v>
      </c>
      <c r="D75" s="788" t="s">
        <v>76</v>
      </c>
      <c r="E75" s="778">
        <v>0</v>
      </c>
      <c r="F75" s="789">
        <f>AVERAGEA(E75:E75)</f>
        <v>0</v>
      </c>
      <c r="G75" s="786">
        <v>0</v>
      </c>
      <c r="H75" s="588"/>
    </row>
    <row r="76" spans="1:8" ht="15">
      <c r="A76" s="517" t="s">
        <v>306</v>
      </c>
      <c r="B76" s="88" t="s">
        <v>280</v>
      </c>
      <c r="C76" s="89" t="s">
        <v>110</v>
      </c>
      <c r="D76" s="89" t="s">
        <v>275</v>
      </c>
      <c r="E76" s="778">
        <v>0</v>
      </c>
      <c r="F76" s="790">
        <f>_xlfn.IFERROR(_xlfn.AVERAGEIF(E76:E76,"&gt;0",E76:E76),0)</f>
        <v>0</v>
      </c>
      <c r="G76" s="786">
        <v>0</v>
      </c>
      <c r="H76" s="588"/>
    </row>
    <row r="77" spans="1:8" ht="15">
      <c r="A77" s="440" t="s">
        <v>519</v>
      </c>
      <c r="B77" s="444" t="s">
        <v>645</v>
      </c>
      <c r="C77" s="445" t="s">
        <v>110</v>
      </c>
      <c r="D77" s="445" t="s">
        <v>415</v>
      </c>
      <c r="E77" s="778">
        <v>0</v>
      </c>
      <c r="F77" s="790">
        <f>_xlfn.IFERROR(_xlfn.AVERAGEIF(E77:E77,"&gt;0",E77:E77),0)</f>
        <v>0</v>
      </c>
      <c r="G77" s="786">
        <v>0</v>
      </c>
      <c r="H77" s="588"/>
    </row>
    <row r="78" spans="1:8" ht="15">
      <c r="A78" s="440" t="s">
        <v>520</v>
      </c>
      <c r="B78" s="444" t="s">
        <v>281</v>
      </c>
      <c r="C78" s="445" t="s">
        <v>110</v>
      </c>
      <c r="D78" s="89" t="s">
        <v>509</v>
      </c>
      <c r="E78" s="778">
        <v>0</v>
      </c>
      <c r="F78" s="790">
        <f aca="true" t="shared" si="5" ref="F78:F87">AVERAGEA(E78:E78)</f>
        <v>0</v>
      </c>
      <c r="G78" s="786">
        <v>0</v>
      </c>
      <c r="H78" s="588"/>
    </row>
    <row r="79" spans="1:8" ht="15">
      <c r="A79" s="440" t="s">
        <v>521</v>
      </c>
      <c r="B79" s="444" t="s">
        <v>1228</v>
      </c>
      <c r="C79" s="445" t="s">
        <v>110</v>
      </c>
      <c r="D79" s="445" t="s">
        <v>509</v>
      </c>
      <c r="E79" s="778">
        <v>0</v>
      </c>
      <c r="F79" s="790">
        <f t="shared" si="5"/>
        <v>0</v>
      </c>
      <c r="G79" s="786">
        <v>0</v>
      </c>
      <c r="H79" s="588"/>
    </row>
    <row r="80" spans="1:8" ht="15">
      <c r="A80" s="440" t="s">
        <v>637</v>
      </c>
      <c r="B80" s="444" t="s">
        <v>774</v>
      </c>
      <c r="C80" s="445" t="s">
        <v>110</v>
      </c>
      <c r="D80" s="445" t="s">
        <v>509</v>
      </c>
      <c r="E80" s="778">
        <v>0</v>
      </c>
      <c r="F80" s="790">
        <f t="shared" si="5"/>
        <v>0</v>
      </c>
      <c r="G80" s="786">
        <v>0</v>
      </c>
      <c r="H80" s="588"/>
    </row>
    <row r="81" spans="1:8" ht="15">
      <c r="A81" s="440" t="s">
        <v>638</v>
      </c>
      <c r="B81" s="444" t="s">
        <v>774</v>
      </c>
      <c r="C81" s="445" t="s">
        <v>110</v>
      </c>
      <c r="D81" s="445" t="s">
        <v>697</v>
      </c>
      <c r="E81" s="778">
        <v>0</v>
      </c>
      <c r="F81" s="790">
        <f t="shared" si="5"/>
        <v>0</v>
      </c>
      <c r="G81" s="786">
        <v>0</v>
      </c>
      <c r="H81" s="588"/>
    </row>
    <row r="82" spans="1:8" ht="30">
      <c r="A82" s="440" t="s">
        <v>702</v>
      </c>
      <c r="B82" s="444" t="s">
        <v>804</v>
      </c>
      <c r="C82" s="445" t="s">
        <v>110</v>
      </c>
      <c r="D82" s="445" t="s">
        <v>99</v>
      </c>
      <c r="E82" s="778">
        <v>0</v>
      </c>
      <c r="F82" s="790">
        <f t="shared" si="5"/>
        <v>0</v>
      </c>
      <c r="G82" s="786">
        <v>0</v>
      </c>
      <c r="H82" s="588"/>
    </row>
    <row r="83" spans="1:8" ht="15">
      <c r="A83" s="440" t="s">
        <v>797</v>
      </c>
      <c r="B83" s="444" t="s">
        <v>775</v>
      </c>
      <c r="C83" s="445" t="s">
        <v>110</v>
      </c>
      <c r="D83" s="445" t="s">
        <v>509</v>
      </c>
      <c r="E83" s="778">
        <v>0</v>
      </c>
      <c r="F83" s="790">
        <f t="shared" si="5"/>
        <v>0</v>
      </c>
      <c r="G83" s="786">
        <v>0</v>
      </c>
      <c r="H83" s="588"/>
    </row>
    <row r="84" spans="1:8" ht="15">
      <c r="A84" s="440" t="s">
        <v>798</v>
      </c>
      <c r="B84" s="444" t="s">
        <v>775</v>
      </c>
      <c r="C84" s="445" t="s">
        <v>110</v>
      </c>
      <c r="D84" s="445" t="s">
        <v>697</v>
      </c>
      <c r="E84" s="778">
        <v>0</v>
      </c>
      <c r="F84" s="790">
        <f t="shared" si="5"/>
        <v>0</v>
      </c>
      <c r="G84" s="786">
        <v>0</v>
      </c>
      <c r="H84" s="588"/>
    </row>
    <row r="85" spans="1:8" ht="30">
      <c r="A85" s="440" t="s">
        <v>799</v>
      </c>
      <c r="B85" s="444" t="s">
        <v>800</v>
      </c>
      <c r="C85" s="445" t="s">
        <v>110</v>
      </c>
      <c r="D85" s="445" t="s">
        <v>99</v>
      </c>
      <c r="E85" s="778">
        <v>0</v>
      </c>
      <c r="F85" s="790">
        <f t="shared" si="5"/>
        <v>0</v>
      </c>
      <c r="G85" s="786">
        <v>0</v>
      </c>
      <c r="H85" s="588"/>
    </row>
    <row r="86" spans="1:8" ht="15">
      <c r="A86" s="440" t="s">
        <v>1199</v>
      </c>
      <c r="B86" s="444" t="s">
        <v>815</v>
      </c>
      <c r="C86" s="445" t="s">
        <v>110</v>
      </c>
      <c r="D86" s="445" t="s">
        <v>697</v>
      </c>
      <c r="E86" s="778">
        <v>0</v>
      </c>
      <c r="F86" s="790">
        <f t="shared" si="5"/>
        <v>0</v>
      </c>
      <c r="G86" s="786">
        <v>0</v>
      </c>
      <c r="H86" s="589"/>
    </row>
    <row r="87" spans="1:8" ht="15">
      <c r="A87" s="783" t="s">
        <v>1641</v>
      </c>
      <c r="B87" s="785" t="s">
        <v>1640</v>
      </c>
      <c r="C87" s="445" t="s">
        <v>110</v>
      </c>
      <c r="D87" s="89" t="s">
        <v>76</v>
      </c>
      <c r="E87" s="778">
        <v>0</v>
      </c>
      <c r="F87" s="790">
        <f t="shared" si="5"/>
        <v>0</v>
      </c>
      <c r="G87" s="786">
        <v>0</v>
      </c>
      <c r="H87" s="589"/>
    </row>
    <row r="88" spans="1:8" ht="15.75" thickBot="1">
      <c r="A88" s="784" t="s">
        <v>1642</v>
      </c>
      <c r="B88" s="796" t="s">
        <v>1653</v>
      </c>
      <c r="C88" s="442" t="s">
        <v>110</v>
      </c>
      <c r="D88" s="797" t="s">
        <v>1630</v>
      </c>
      <c r="E88" s="875">
        <v>0</v>
      </c>
      <c r="F88" s="798">
        <f>_xlfn.IFERROR(_xlfn.AVERAGEIF(E88:E88,"&gt;0",E88:E88),0)</f>
        <v>0</v>
      </c>
      <c r="G88" s="786">
        <v>0</v>
      </c>
      <c r="H88" s="634"/>
    </row>
    <row r="89" spans="1:8" ht="15">
      <c r="A89" s="804" t="s">
        <v>307</v>
      </c>
      <c r="B89" s="805" t="s">
        <v>387</v>
      </c>
      <c r="C89" s="787" t="s">
        <v>110</v>
      </c>
      <c r="D89" s="787" t="s">
        <v>76</v>
      </c>
      <c r="E89" s="778">
        <v>0</v>
      </c>
      <c r="F89" s="789">
        <f>AVERAGEA(E89:E89)</f>
        <v>0</v>
      </c>
      <c r="G89" s="786">
        <v>0</v>
      </c>
      <c r="H89" s="588"/>
    </row>
    <row r="90" spans="1:8" ht="15">
      <c r="A90" s="440" t="s">
        <v>308</v>
      </c>
      <c r="B90" s="444" t="s">
        <v>282</v>
      </c>
      <c r="C90" s="445" t="s">
        <v>110</v>
      </c>
      <c r="D90" s="445" t="s">
        <v>275</v>
      </c>
      <c r="E90" s="778">
        <v>0</v>
      </c>
      <c r="F90" s="790">
        <f>_xlfn.IFERROR(_xlfn.AVERAGEIF(E90:E90,"&gt;0",E90:E90),0)</f>
        <v>0</v>
      </c>
      <c r="G90" s="786">
        <v>0</v>
      </c>
      <c r="H90" s="588"/>
    </row>
    <row r="91" spans="1:8" ht="15">
      <c r="A91" s="440" t="s">
        <v>522</v>
      </c>
      <c r="B91" s="444" t="s">
        <v>646</v>
      </c>
      <c r="C91" s="445" t="s">
        <v>110</v>
      </c>
      <c r="D91" s="445" t="s">
        <v>415</v>
      </c>
      <c r="E91" s="778">
        <v>0</v>
      </c>
      <c r="F91" s="790">
        <f>_xlfn.IFERROR(_xlfn.AVERAGEIF(E91:E91,"&gt;0",E91:E91),0)</f>
        <v>0</v>
      </c>
      <c r="G91" s="786">
        <v>0</v>
      </c>
      <c r="H91" s="588"/>
    </row>
    <row r="92" spans="1:8" ht="15">
      <c r="A92" s="440" t="s">
        <v>523</v>
      </c>
      <c r="B92" s="444" t="s">
        <v>283</v>
      </c>
      <c r="C92" s="445" t="s">
        <v>110</v>
      </c>
      <c r="D92" s="89" t="s">
        <v>509</v>
      </c>
      <c r="E92" s="778">
        <v>0</v>
      </c>
      <c r="F92" s="790">
        <f aca="true" t="shared" si="6" ref="F92:F101">AVERAGEA(E92:E92)</f>
        <v>0</v>
      </c>
      <c r="G92" s="786">
        <v>0</v>
      </c>
      <c r="H92" s="588"/>
    </row>
    <row r="93" spans="1:8" ht="15">
      <c r="A93" s="440" t="s">
        <v>524</v>
      </c>
      <c r="B93" s="444" t="s">
        <v>1229</v>
      </c>
      <c r="C93" s="445" t="s">
        <v>110</v>
      </c>
      <c r="D93" s="445" t="s">
        <v>509</v>
      </c>
      <c r="E93" s="778">
        <v>0</v>
      </c>
      <c r="F93" s="790">
        <f t="shared" si="6"/>
        <v>0</v>
      </c>
      <c r="G93" s="786">
        <v>0</v>
      </c>
      <c r="H93" s="588"/>
    </row>
    <row r="94" spans="1:8" ht="15">
      <c r="A94" s="440" t="s">
        <v>639</v>
      </c>
      <c r="B94" s="444" t="s">
        <v>776</v>
      </c>
      <c r="C94" s="445" t="s">
        <v>110</v>
      </c>
      <c r="D94" s="445" t="s">
        <v>509</v>
      </c>
      <c r="E94" s="778">
        <v>0</v>
      </c>
      <c r="F94" s="790">
        <f t="shared" si="6"/>
        <v>0</v>
      </c>
      <c r="G94" s="786">
        <v>0</v>
      </c>
      <c r="H94" s="588"/>
    </row>
    <row r="95" spans="1:8" ht="15">
      <c r="A95" s="440" t="s">
        <v>640</v>
      </c>
      <c r="B95" s="444" t="s">
        <v>776</v>
      </c>
      <c r="C95" s="445" t="s">
        <v>110</v>
      </c>
      <c r="D95" s="445" t="s">
        <v>697</v>
      </c>
      <c r="E95" s="778">
        <v>0</v>
      </c>
      <c r="F95" s="790">
        <f t="shared" si="6"/>
        <v>0</v>
      </c>
      <c r="G95" s="786">
        <v>0</v>
      </c>
      <c r="H95" s="588"/>
    </row>
    <row r="96" spans="1:8" ht="30">
      <c r="A96" s="440" t="s">
        <v>704</v>
      </c>
      <c r="B96" s="444" t="s">
        <v>809</v>
      </c>
      <c r="C96" s="445" t="s">
        <v>110</v>
      </c>
      <c r="D96" s="445" t="s">
        <v>99</v>
      </c>
      <c r="E96" s="778">
        <v>0</v>
      </c>
      <c r="F96" s="790">
        <f t="shared" si="6"/>
        <v>0</v>
      </c>
      <c r="G96" s="786">
        <v>0</v>
      </c>
      <c r="H96" s="588"/>
    </row>
    <row r="97" spans="1:8" ht="15">
      <c r="A97" s="440" t="s">
        <v>806</v>
      </c>
      <c r="B97" s="444" t="s">
        <v>777</v>
      </c>
      <c r="C97" s="445" t="s">
        <v>110</v>
      </c>
      <c r="D97" s="445" t="s">
        <v>509</v>
      </c>
      <c r="E97" s="778">
        <v>0</v>
      </c>
      <c r="F97" s="790">
        <f t="shared" si="6"/>
        <v>0</v>
      </c>
      <c r="G97" s="786">
        <v>0</v>
      </c>
      <c r="H97" s="588"/>
    </row>
    <row r="98" spans="1:8" ht="15">
      <c r="A98" s="440" t="s">
        <v>807</v>
      </c>
      <c r="B98" s="444" t="s">
        <v>777</v>
      </c>
      <c r="C98" s="445" t="s">
        <v>110</v>
      </c>
      <c r="D98" s="445" t="s">
        <v>697</v>
      </c>
      <c r="E98" s="778">
        <v>0</v>
      </c>
      <c r="F98" s="790">
        <f t="shared" si="6"/>
        <v>0</v>
      </c>
      <c r="G98" s="786">
        <v>0</v>
      </c>
      <c r="H98" s="588"/>
    </row>
    <row r="99" spans="1:8" ht="30">
      <c r="A99" s="440" t="s">
        <v>808</v>
      </c>
      <c r="B99" s="444" t="s">
        <v>805</v>
      </c>
      <c r="C99" s="445" t="s">
        <v>110</v>
      </c>
      <c r="D99" s="445" t="s">
        <v>99</v>
      </c>
      <c r="E99" s="778">
        <v>0</v>
      </c>
      <c r="F99" s="790">
        <f t="shared" si="6"/>
        <v>0</v>
      </c>
      <c r="G99" s="786">
        <v>0</v>
      </c>
      <c r="H99" s="588"/>
    </row>
    <row r="100" spans="1:8" ht="15">
      <c r="A100" s="440" t="s">
        <v>1200</v>
      </c>
      <c r="B100" s="444" t="s">
        <v>1616</v>
      </c>
      <c r="C100" s="445" t="s">
        <v>110</v>
      </c>
      <c r="D100" s="445" t="s">
        <v>697</v>
      </c>
      <c r="E100" s="778">
        <v>0</v>
      </c>
      <c r="F100" s="790">
        <f t="shared" si="6"/>
        <v>0</v>
      </c>
      <c r="G100" s="786">
        <v>0</v>
      </c>
      <c r="H100" s="589"/>
    </row>
    <row r="101" spans="1:8" ht="15">
      <c r="A101" s="783" t="s">
        <v>1643</v>
      </c>
      <c r="B101" s="785" t="s">
        <v>1645</v>
      </c>
      <c r="C101" s="445" t="s">
        <v>110</v>
      </c>
      <c r="D101" s="89" t="s">
        <v>76</v>
      </c>
      <c r="E101" s="778">
        <v>0</v>
      </c>
      <c r="F101" s="790">
        <f t="shared" si="6"/>
        <v>0</v>
      </c>
      <c r="G101" s="786">
        <v>0</v>
      </c>
      <c r="H101" s="589"/>
    </row>
    <row r="102" spans="1:8" ht="15.75" thickBot="1">
      <c r="A102" s="791" t="s">
        <v>1644</v>
      </c>
      <c r="B102" s="792" t="s">
        <v>1654</v>
      </c>
      <c r="C102" s="793" t="s">
        <v>110</v>
      </c>
      <c r="D102" s="794" t="s">
        <v>1630</v>
      </c>
      <c r="E102" s="872">
        <v>0</v>
      </c>
      <c r="F102" s="795">
        <f>_xlfn.IFERROR(_xlfn.AVERAGEIF(E102:E102,"&gt;0",E102:E102),0)</f>
        <v>0</v>
      </c>
      <c r="G102" s="786">
        <v>0</v>
      </c>
      <c r="H102" s="634"/>
    </row>
    <row r="103" spans="1:8" ht="15">
      <c r="A103" s="665"/>
      <c r="B103" s="666"/>
      <c r="C103" s="667"/>
      <c r="D103" s="667"/>
      <c r="E103" s="803"/>
      <c r="F103" s="668"/>
      <c r="G103" s="641"/>
      <c r="H103" s="589"/>
    </row>
    <row r="104" spans="1:8" ht="15">
      <c r="A104" s="446" t="s">
        <v>1263</v>
      </c>
      <c r="B104" s="664" t="s">
        <v>1264</v>
      </c>
      <c r="C104" s="301"/>
      <c r="D104" s="301"/>
      <c r="E104" s="291"/>
      <c r="F104" s="328"/>
      <c r="G104" s="292"/>
      <c r="H104" s="593"/>
    </row>
    <row r="105" spans="1:8" ht="15">
      <c r="A105" s="431" t="s">
        <v>35</v>
      </c>
      <c r="B105" s="311" t="s">
        <v>647</v>
      </c>
      <c r="C105" s="310"/>
      <c r="D105" s="310"/>
      <c r="E105" s="253"/>
      <c r="F105" s="327"/>
      <c r="G105" s="253"/>
      <c r="H105" s="529"/>
    </row>
    <row r="106" spans="1:8" ht="30">
      <c r="A106" s="431" t="s">
        <v>111</v>
      </c>
      <c r="B106" s="311" t="s">
        <v>692</v>
      </c>
      <c r="C106" s="310"/>
      <c r="D106" s="448"/>
      <c r="E106" s="254"/>
      <c r="F106" s="318"/>
      <c r="G106" s="385"/>
      <c r="H106" s="594"/>
    </row>
    <row r="107" spans="1:8" ht="15">
      <c r="A107" s="517" t="s">
        <v>43</v>
      </c>
      <c r="B107" s="88" t="s">
        <v>648</v>
      </c>
      <c r="C107" s="450" t="s">
        <v>110</v>
      </c>
      <c r="D107" s="91" t="s">
        <v>99</v>
      </c>
      <c r="E107" s="878"/>
      <c r="F107" s="508" t="e">
        <f aca="true" t="shared" si="7" ref="F107:F117">AVERAGEA(E107:E107)</f>
        <v>#DIV/0!</v>
      </c>
      <c r="G107" s="880"/>
      <c r="H107" s="880"/>
    </row>
    <row r="108" spans="1:8" ht="15">
      <c r="A108" s="517" t="s">
        <v>44</v>
      </c>
      <c r="B108" s="88" t="s">
        <v>649</v>
      </c>
      <c r="C108" s="450" t="s">
        <v>110</v>
      </c>
      <c r="D108" s="91" t="s">
        <v>99</v>
      </c>
      <c r="E108" s="778"/>
      <c r="F108" s="508" t="e">
        <f t="shared" si="7"/>
        <v>#DIV/0!</v>
      </c>
      <c r="G108" s="880"/>
      <c r="H108" s="880"/>
    </row>
    <row r="109" spans="1:8" ht="30">
      <c r="A109" s="517" t="s">
        <v>45</v>
      </c>
      <c r="B109" s="88" t="s">
        <v>650</v>
      </c>
      <c r="C109" s="450" t="s">
        <v>110</v>
      </c>
      <c r="D109" s="91" t="s">
        <v>99</v>
      </c>
      <c r="E109" s="778"/>
      <c r="F109" s="508" t="e">
        <f t="shared" si="7"/>
        <v>#DIV/0!</v>
      </c>
      <c r="G109" s="886"/>
      <c r="H109" s="880"/>
    </row>
    <row r="110" spans="1:8" ht="30">
      <c r="A110" s="517" t="s">
        <v>46</v>
      </c>
      <c r="B110" s="88" t="s">
        <v>1119</v>
      </c>
      <c r="C110" s="450" t="s">
        <v>110</v>
      </c>
      <c r="D110" s="91" t="s">
        <v>3</v>
      </c>
      <c r="E110" s="778"/>
      <c r="F110" s="508" t="e">
        <f t="shared" si="7"/>
        <v>#DIV/0!</v>
      </c>
      <c r="G110" s="887"/>
      <c r="H110" s="880"/>
    </row>
    <row r="111" spans="1:8" ht="30">
      <c r="A111" s="517" t="s">
        <v>47</v>
      </c>
      <c r="B111" s="88" t="s">
        <v>1119</v>
      </c>
      <c r="C111" s="450" t="s">
        <v>110</v>
      </c>
      <c r="D111" s="91" t="s">
        <v>99</v>
      </c>
      <c r="E111" s="778"/>
      <c r="F111" s="508" t="e">
        <f t="shared" si="7"/>
        <v>#DIV/0!</v>
      </c>
      <c r="G111" s="880"/>
      <c r="H111" s="880"/>
    </row>
    <row r="112" spans="1:8" ht="30">
      <c r="A112" s="517" t="s">
        <v>48</v>
      </c>
      <c r="B112" s="88" t="s">
        <v>1119</v>
      </c>
      <c r="C112" s="450" t="s">
        <v>110</v>
      </c>
      <c r="D112" s="91" t="s">
        <v>59</v>
      </c>
      <c r="E112" s="778"/>
      <c r="F112" s="508" t="e">
        <f t="shared" si="7"/>
        <v>#DIV/0!</v>
      </c>
      <c r="G112" s="880"/>
      <c r="H112" s="880"/>
    </row>
    <row r="113" spans="1:8" ht="30">
      <c r="A113" s="517" t="s">
        <v>49</v>
      </c>
      <c r="B113" s="88" t="s">
        <v>1121</v>
      </c>
      <c r="C113" s="450" t="s">
        <v>110</v>
      </c>
      <c r="D113" s="91" t="s">
        <v>59</v>
      </c>
      <c r="E113" s="778"/>
      <c r="F113" s="508" t="e">
        <f t="shared" si="7"/>
        <v>#DIV/0!</v>
      </c>
      <c r="G113" s="877"/>
      <c r="H113" s="880"/>
    </row>
    <row r="114" spans="1:8" ht="45">
      <c r="A114" s="517" t="s">
        <v>50</v>
      </c>
      <c r="B114" s="88" t="s">
        <v>1126</v>
      </c>
      <c r="C114" s="450" t="s">
        <v>110</v>
      </c>
      <c r="D114" s="91" t="s">
        <v>1118</v>
      </c>
      <c r="E114" s="778"/>
      <c r="F114" s="508" t="e">
        <f t="shared" si="7"/>
        <v>#DIV/0!</v>
      </c>
      <c r="G114" s="887"/>
      <c r="H114" s="880"/>
    </row>
    <row r="115" spans="1:8" ht="15">
      <c r="A115" s="517" t="s">
        <v>100</v>
      </c>
      <c r="B115" s="88" t="s">
        <v>1120</v>
      </c>
      <c r="C115" s="450" t="s">
        <v>110</v>
      </c>
      <c r="D115" s="91" t="s">
        <v>1118</v>
      </c>
      <c r="E115" s="778"/>
      <c r="F115" s="508" t="e">
        <f t="shared" si="7"/>
        <v>#DIV/0!</v>
      </c>
      <c r="G115" s="877"/>
      <c r="H115" s="880"/>
    </row>
    <row r="116" spans="1:8" ht="15">
      <c r="A116" s="517" t="s">
        <v>101</v>
      </c>
      <c r="B116" s="88" t="s">
        <v>19</v>
      </c>
      <c r="C116" s="450"/>
      <c r="D116" s="91" t="s">
        <v>24</v>
      </c>
      <c r="E116" s="878"/>
      <c r="F116" s="508" t="e">
        <f t="shared" si="7"/>
        <v>#DIV/0!</v>
      </c>
      <c r="G116" s="877"/>
      <c r="H116" s="888"/>
    </row>
    <row r="117" spans="1:8" ht="15">
      <c r="A117" s="517" t="s">
        <v>102</v>
      </c>
      <c r="B117" s="88" t="s">
        <v>651</v>
      </c>
      <c r="C117" s="450"/>
      <c r="D117" s="91" t="s">
        <v>34</v>
      </c>
      <c r="E117" s="878"/>
      <c r="F117" s="508" t="e">
        <f t="shared" si="7"/>
        <v>#DIV/0!</v>
      </c>
      <c r="G117" s="877"/>
      <c r="H117" s="880"/>
    </row>
    <row r="118" spans="1:8" ht="15">
      <c r="A118" s="517" t="s">
        <v>880</v>
      </c>
      <c r="B118" s="88" t="s">
        <v>1259</v>
      </c>
      <c r="C118" s="450"/>
      <c r="D118" s="91" t="s">
        <v>1167</v>
      </c>
      <c r="E118" s="896"/>
      <c r="F118" s="766">
        <f>E118</f>
        <v>0</v>
      </c>
      <c r="G118" s="504"/>
      <c r="H118" s="771"/>
    </row>
    <row r="119" spans="1:8" ht="15">
      <c r="A119" s="517" t="s">
        <v>1143</v>
      </c>
      <c r="B119" s="88" t="s">
        <v>1260</v>
      </c>
      <c r="C119" s="450"/>
      <c r="D119" s="91" t="s">
        <v>1167</v>
      </c>
      <c r="E119" s="896"/>
      <c r="F119" s="766">
        <f>E119</f>
        <v>0</v>
      </c>
      <c r="G119" s="504"/>
      <c r="H119" s="771"/>
    </row>
    <row r="120" spans="1:8" ht="30">
      <c r="A120" s="508" t="s">
        <v>1157</v>
      </c>
      <c r="B120" s="672" t="s">
        <v>1144</v>
      </c>
      <c r="C120" s="508" t="s">
        <v>1370</v>
      </c>
      <c r="D120" s="508" t="s">
        <v>1167</v>
      </c>
      <c r="E120" s="766">
        <f>E118-E119</f>
        <v>0</v>
      </c>
      <c r="F120" s="766">
        <f>E120</f>
        <v>0</v>
      </c>
      <c r="G120" s="504"/>
      <c r="H120" s="779"/>
    </row>
    <row r="121" spans="1:8" ht="30">
      <c r="A121" s="517" t="s">
        <v>1158</v>
      </c>
      <c r="B121" s="88" t="s">
        <v>1145</v>
      </c>
      <c r="C121" s="450"/>
      <c r="D121" s="91" t="s">
        <v>1146</v>
      </c>
      <c r="E121" s="896"/>
      <c r="F121" s="508">
        <f>E121</f>
        <v>0</v>
      </c>
      <c r="G121" s="504"/>
      <c r="H121" s="779"/>
    </row>
    <row r="122" spans="1:8" ht="15.75" thickBot="1">
      <c r="A122" s="351" t="s">
        <v>1159</v>
      </c>
      <c r="B122" s="350" t="s">
        <v>527</v>
      </c>
      <c r="C122" s="351" t="s">
        <v>1406</v>
      </c>
      <c r="D122" s="351" t="s">
        <v>99</v>
      </c>
      <c r="E122" s="351">
        <f>E107+E108+E109</f>
        <v>0</v>
      </c>
      <c r="F122" s="352" t="e">
        <f>F107+F108+F109</f>
        <v>#DIV/0!</v>
      </c>
      <c r="G122" s="351">
        <f>G107+G108+G109</f>
        <v>0</v>
      </c>
      <c r="H122" s="595"/>
    </row>
    <row r="123" spans="1:8" ht="30.75" thickBot="1">
      <c r="A123" s="53" t="s">
        <v>1261</v>
      </c>
      <c r="B123" s="51" t="s">
        <v>718</v>
      </c>
      <c r="C123" s="53" t="s">
        <v>1407</v>
      </c>
      <c r="D123" s="53" t="s">
        <v>99</v>
      </c>
      <c r="E123" s="53">
        <f>IF((E107+E108+E109)&gt;E256,((E107+E108+E109)-E256),0)</f>
        <v>0</v>
      </c>
      <c r="F123" s="324" t="e">
        <f>IF((F107+F108+F109)&gt;F256,((F107+F108+F109)-F256),0)</f>
        <v>#DIV/0!</v>
      </c>
      <c r="G123" s="53">
        <f>IF((G107+G108+G109)&gt;G256,((G107+G108+G109)-G256),0)</f>
        <v>0</v>
      </c>
      <c r="H123" s="315"/>
    </row>
    <row r="124" spans="1:8" ht="45.75" thickBot="1">
      <c r="A124" s="289" t="s">
        <v>1262</v>
      </c>
      <c r="B124" s="288" t="s">
        <v>719</v>
      </c>
      <c r="C124" s="289" t="s">
        <v>652</v>
      </c>
      <c r="D124" s="289" t="s">
        <v>231</v>
      </c>
      <c r="E124" s="289">
        <f>E123*860/10</f>
        <v>0</v>
      </c>
      <c r="F124" s="325" t="e">
        <f>F123*860/10</f>
        <v>#DIV/0!</v>
      </c>
      <c r="G124" s="289">
        <f>G123*860/10</f>
        <v>0</v>
      </c>
      <c r="H124" s="314"/>
    </row>
    <row r="125" spans="1:8" ht="15">
      <c r="A125" s="112"/>
      <c r="B125" s="451"/>
      <c r="C125" s="437"/>
      <c r="D125" s="438"/>
      <c r="E125" s="438"/>
      <c r="F125" s="329"/>
      <c r="G125" s="287"/>
      <c r="H125" s="596"/>
    </row>
    <row r="126" spans="1:8" ht="15">
      <c r="A126" s="431" t="s">
        <v>51</v>
      </c>
      <c r="B126" s="311" t="s">
        <v>61</v>
      </c>
      <c r="C126" s="310"/>
      <c r="D126" s="448"/>
      <c r="E126" s="448"/>
      <c r="F126" s="318"/>
      <c r="G126" s="385"/>
      <c r="H126" s="594"/>
    </row>
    <row r="127" spans="1:8" ht="15">
      <c r="A127" s="452" t="s">
        <v>309</v>
      </c>
      <c r="B127" s="453" t="s">
        <v>8</v>
      </c>
      <c r="C127" s="481"/>
      <c r="D127" s="448"/>
      <c r="E127" s="448"/>
      <c r="F127" s="318"/>
      <c r="G127" s="385"/>
      <c r="H127" s="594"/>
    </row>
    <row r="128" spans="1:8" ht="15">
      <c r="A128" s="95" t="s">
        <v>43</v>
      </c>
      <c r="B128" s="444" t="s">
        <v>1135</v>
      </c>
      <c r="C128" s="454"/>
      <c r="D128" s="99" t="s">
        <v>689</v>
      </c>
      <c r="E128" s="99" t="s">
        <v>825</v>
      </c>
      <c r="F128" s="59" t="s">
        <v>825</v>
      </c>
      <c r="G128" s="773" t="s">
        <v>825</v>
      </c>
      <c r="H128" s="771"/>
    </row>
    <row r="129" spans="1:8" ht="15">
      <c r="A129" s="95" t="s">
        <v>44</v>
      </c>
      <c r="B129" s="444" t="s">
        <v>653</v>
      </c>
      <c r="C129" s="455"/>
      <c r="D129" s="99" t="s">
        <v>59</v>
      </c>
      <c r="E129" s="878"/>
      <c r="F129" s="349" t="e">
        <f>AVERAGEA(E129:E129)</f>
        <v>#DIV/0!</v>
      </c>
      <c r="G129" s="880"/>
      <c r="H129" s="880"/>
    </row>
    <row r="130" spans="1:8" ht="15">
      <c r="A130" s="95" t="s">
        <v>45</v>
      </c>
      <c r="B130" s="444" t="s">
        <v>1388</v>
      </c>
      <c r="C130" s="445" t="s">
        <v>110</v>
      </c>
      <c r="D130" s="99" t="s">
        <v>99</v>
      </c>
      <c r="E130" s="878"/>
      <c r="F130" s="349" t="e">
        <f>AVERAGEA(E130:E130)</f>
        <v>#DIV/0!</v>
      </c>
      <c r="G130" s="880"/>
      <c r="H130" s="880"/>
    </row>
    <row r="131" spans="1:8" ht="15">
      <c r="A131" s="95" t="s">
        <v>46</v>
      </c>
      <c r="B131" s="88" t="s">
        <v>739</v>
      </c>
      <c r="C131" s="89"/>
      <c r="D131" s="91" t="s">
        <v>238</v>
      </c>
      <c r="E131" s="878"/>
      <c r="F131" s="349">
        <f>_xlfn.IFERROR(_xlfn.AVERAGEIF(E131:E131,"&gt;0",E131:E131),0)</f>
        <v>0</v>
      </c>
      <c r="G131" s="877"/>
      <c r="H131" s="881"/>
    </row>
    <row r="132" spans="1:8" ht="15">
      <c r="A132" s="95" t="s">
        <v>47</v>
      </c>
      <c r="B132" s="88" t="s">
        <v>284</v>
      </c>
      <c r="C132" s="89" t="s">
        <v>110</v>
      </c>
      <c r="D132" s="91" t="s">
        <v>159</v>
      </c>
      <c r="E132" s="897"/>
      <c r="F132" s="349" t="e">
        <f>AVERAGEA(E132:E132)</f>
        <v>#DIV/0!</v>
      </c>
      <c r="G132" s="880"/>
      <c r="H132" s="880"/>
    </row>
    <row r="133" spans="1:8" ht="15">
      <c r="A133" s="95"/>
      <c r="B133" s="88"/>
      <c r="C133" s="89"/>
      <c r="D133" s="91"/>
      <c r="E133" s="91"/>
      <c r="F133" s="59"/>
      <c r="G133" s="773"/>
      <c r="H133" s="772"/>
    </row>
    <row r="134" spans="1:8" ht="15">
      <c r="A134" s="452" t="s">
        <v>310</v>
      </c>
      <c r="B134" s="453" t="s">
        <v>57</v>
      </c>
      <c r="C134" s="481"/>
      <c r="D134" s="448"/>
      <c r="E134" s="254"/>
      <c r="F134" s="318"/>
      <c r="G134" s="385"/>
      <c r="H134" s="594"/>
    </row>
    <row r="135" spans="1:8" ht="15">
      <c r="A135" s="452" t="s">
        <v>733</v>
      </c>
      <c r="B135" s="453" t="s">
        <v>1233</v>
      </c>
      <c r="C135" s="481"/>
      <c r="D135" s="448"/>
      <c r="E135" s="254"/>
      <c r="F135" s="318"/>
      <c r="G135" s="385"/>
      <c r="H135" s="594"/>
    </row>
    <row r="136" spans="1:8" ht="15">
      <c r="A136" s="95" t="s">
        <v>43</v>
      </c>
      <c r="B136" s="444" t="s">
        <v>1135</v>
      </c>
      <c r="C136" s="454"/>
      <c r="D136" s="99" t="s">
        <v>689</v>
      </c>
      <c r="E136" s="862" t="s">
        <v>825</v>
      </c>
      <c r="F136" s="59" t="s">
        <v>825</v>
      </c>
      <c r="G136" s="770" t="s">
        <v>825</v>
      </c>
      <c r="H136" s="779"/>
    </row>
    <row r="137" spans="1:8" ht="15">
      <c r="A137" s="95" t="s">
        <v>44</v>
      </c>
      <c r="B137" s="444" t="s">
        <v>653</v>
      </c>
      <c r="C137" s="455"/>
      <c r="D137" s="99" t="s">
        <v>59</v>
      </c>
      <c r="E137" s="878"/>
      <c r="F137" s="349" t="e">
        <f>AVERAGEA(E137:E137)</f>
        <v>#DIV/0!</v>
      </c>
      <c r="G137" s="880"/>
      <c r="H137" s="880"/>
    </row>
    <row r="138" spans="1:8" ht="15">
      <c r="A138" s="95" t="s">
        <v>45</v>
      </c>
      <c r="B138" s="444" t="s">
        <v>179</v>
      </c>
      <c r="C138" s="89" t="s">
        <v>110</v>
      </c>
      <c r="D138" s="99" t="s">
        <v>99</v>
      </c>
      <c r="E138" s="898"/>
      <c r="F138" s="349" t="e">
        <f>AVERAGEA(E138:E138)</f>
        <v>#DIV/0!</v>
      </c>
      <c r="G138" s="880"/>
      <c r="H138" s="880"/>
    </row>
    <row r="139" spans="1:8" ht="15">
      <c r="A139" s="95" t="s">
        <v>46</v>
      </c>
      <c r="B139" s="88" t="s">
        <v>259</v>
      </c>
      <c r="C139" s="89" t="s">
        <v>110</v>
      </c>
      <c r="D139" s="91" t="s">
        <v>3</v>
      </c>
      <c r="E139" s="898"/>
      <c r="F139" s="349">
        <f>_xlfn.IFERROR(_xlfn.AVERAGEIF(E139:E139,"&gt;0",E139:E139),0)</f>
        <v>0</v>
      </c>
      <c r="G139" s="880"/>
      <c r="H139" s="880"/>
    </row>
    <row r="140" spans="1:8" ht="15">
      <c r="A140" s="95"/>
      <c r="B140" s="88" t="s">
        <v>740</v>
      </c>
      <c r="C140" s="89"/>
      <c r="D140" s="91" t="s">
        <v>257</v>
      </c>
      <c r="E140" s="878"/>
      <c r="F140" s="349">
        <f>_xlfn.IFERROR(_xlfn.AVERAGEIF(E140:E140,"&gt;0",E140:E140),0)</f>
        <v>0</v>
      </c>
      <c r="G140" s="880"/>
      <c r="H140" s="880"/>
    </row>
    <row r="141" spans="1:8" ht="15">
      <c r="A141" s="95" t="s">
        <v>48</v>
      </c>
      <c r="B141" s="88" t="s">
        <v>284</v>
      </c>
      <c r="C141" s="89" t="s">
        <v>110</v>
      </c>
      <c r="D141" s="91" t="s">
        <v>159</v>
      </c>
      <c r="E141" s="898"/>
      <c r="F141" s="349" t="e">
        <f>AVERAGEA(E141:E141)</f>
        <v>#DIV/0!</v>
      </c>
      <c r="G141" s="880"/>
      <c r="H141" s="880"/>
    </row>
    <row r="142" spans="1:8" ht="15">
      <c r="A142" s="95" t="s">
        <v>49</v>
      </c>
      <c r="B142" s="88" t="s">
        <v>1253</v>
      </c>
      <c r="C142" s="89" t="s">
        <v>110</v>
      </c>
      <c r="D142" s="91" t="s">
        <v>159</v>
      </c>
      <c r="E142" s="878"/>
      <c r="F142" s="349" t="e">
        <f>AVERAGEA(E142:E142)</f>
        <v>#DIV/0!</v>
      </c>
      <c r="G142" s="880"/>
      <c r="H142" s="880"/>
    </row>
    <row r="143" spans="1:8" ht="45">
      <c r="A143" s="95" t="s">
        <v>50</v>
      </c>
      <c r="B143" s="88" t="s">
        <v>1204</v>
      </c>
      <c r="C143" s="89" t="s">
        <v>110</v>
      </c>
      <c r="D143" s="91" t="s">
        <v>159</v>
      </c>
      <c r="E143" s="898"/>
      <c r="F143" s="349">
        <f>_xlfn.IFERROR(_xlfn.AVERAGEIF(E143:E143,"&gt;0",E143:E143),0)</f>
        <v>0</v>
      </c>
      <c r="G143" s="880"/>
      <c r="H143" s="880"/>
    </row>
    <row r="144" spans="1:8" ht="30">
      <c r="A144" s="95" t="s">
        <v>100</v>
      </c>
      <c r="B144" s="88" t="s">
        <v>1087</v>
      </c>
      <c r="C144" s="89" t="s">
        <v>110</v>
      </c>
      <c r="D144" s="91" t="s">
        <v>159</v>
      </c>
      <c r="E144" s="899"/>
      <c r="F144" s="349">
        <f>_xlfn.IFERROR(_xlfn.AVERAGEIF(E144:E144,"&gt;0",E144:E144),0)</f>
        <v>0</v>
      </c>
      <c r="G144" s="880"/>
      <c r="H144" s="880"/>
    </row>
    <row r="145" spans="1:8" ht="45.75" thickBot="1">
      <c r="A145" s="95" t="s">
        <v>101</v>
      </c>
      <c r="B145" s="88" t="s">
        <v>1088</v>
      </c>
      <c r="C145" s="89" t="s">
        <v>110</v>
      </c>
      <c r="D145" s="91" t="s">
        <v>159</v>
      </c>
      <c r="E145" s="778"/>
      <c r="F145" s="349">
        <f>_xlfn.IFERROR(_xlfn.AVERAGEIF(E145:E145,"&gt;0",E145:E145),0)</f>
        <v>0</v>
      </c>
      <c r="G145" s="880"/>
      <c r="H145" s="880"/>
    </row>
    <row r="146" spans="1:8" ht="35.25" customHeight="1" thickBot="1">
      <c r="A146" s="39" t="s">
        <v>102</v>
      </c>
      <c r="B146" s="40" t="s">
        <v>1240</v>
      </c>
      <c r="C146" s="53" t="s">
        <v>1371</v>
      </c>
      <c r="D146" s="39" t="s">
        <v>59</v>
      </c>
      <c r="E146" s="41">
        <f>_xlfn.IFERROR(E138*100/E141,0)</f>
        <v>0</v>
      </c>
      <c r="F146" s="41">
        <f>_xlfn.IFERROR(F138*100/F141,0)</f>
        <v>0</v>
      </c>
      <c r="G146" s="41">
        <f>_xlfn.IFERROR(G138*100/G141,0)</f>
        <v>0</v>
      </c>
      <c r="H146" s="338"/>
    </row>
    <row r="147" spans="1:8" ht="45" customHeight="1" thickBot="1">
      <c r="A147" s="39" t="s">
        <v>880</v>
      </c>
      <c r="B147" s="40" t="s">
        <v>734</v>
      </c>
      <c r="C147" s="53" t="s">
        <v>1255</v>
      </c>
      <c r="D147" s="39"/>
      <c r="E147" s="41">
        <f>_xlfn.IFERROR((E142-E143)/E142,0)</f>
        <v>0</v>
      </c>
      <c r="F147" s="41">
        <f>_xlfn.IFERROR((F142-F143)/F142,0)</f>
        <v>0</v>
      </c>
      <c r="G147" s="41">
        <f>_xlfn.IFERROR((G142-G143)/G142,0)</f>
        <v>0</v>
      </c>
      <c r="H147" s="338"/>
    </row>
    <row r="148" spans="1:8" ht="39" thickBot="1">
      <c r="A148" s="39" t="s">
        <v>1143</v>
      </c>
      <c r="B148" s="40" t="s">
        <v>1254</v>
      </c>
      <c r="C148" s="740" t="s">
        <v>1541</v>
      </c>
      <c r="D148" s="39" t="s">
        <v>3</v>
      </c>
      <c r="E148" s="41">
        <f>_xlfn.IFERROR(E138*100*100/(E137*E142*E147),0)</f>
        <v>0</v>
      </c>
      <c r="F148" s="41">
        <f>_xlfn.IFERROR((E148*E138)/(E138),0)</f>
        <v>0</v>
      </c>
      <c r="G148" s="41">
        <f>_xlfn.IFERROR(G138*100*100/(G137*G142*G147),0)</f>
        <v>0</v>
      </c>
      <c r="H148" s="338"/>
    </row>
    <row r="149" spans="1:8" ht="30.75" thickBot="1">
      <c r="A149" s="57" t="s">
        <v>1157</v>
      </c>
      <c r="B149" s="293" t="s">
        <v>738</v>
      </c>
      <c r="C149" s="289" t="s">
        <v>1256</v>
      </c>
      <c r="D149" s="57" t="s">
        <v>3</v>
      </c>
      <c r="E149" s="330">
        <f>_xlfn.IFERROR(E145*100/(E144+E145),0)</f>
        <v>0</v>
      </c>
      <c r="F149" s="330">
        <f>_xlfn.IFERROR(F145*100/(F144+F145),0)</f>
        <v>0</v>
      </c>
      <c r="G149" s="330">
        <f>_xlfn.IFERROR(G145*100/(G144+G145),0)</f>
        <v>0</v>
      </c>
      <c r="H149" s="335"/>
    </row>
    <row r="150" spans="1:8" ht="15">
      <c r="A150" s="525"/>
      <c r="B150" s="585"/>
      <c r="C150" s="732"/>
      <c r="D150" s="283"/>
      <c r="E150" s="304"/>
      <c r="F150" s="304"/>
      <c r="G150" s="304"/>
      <c r="H150" s="604"/>
    </row>
    <row r="151" spans="1:8" ht="15">
      <c r="A151" s="452" t="s">
        <v>735</v>
      </c>
      <c r="B151" s="453" t="s">
        <v>1234</v>
      </c>
      <c r="C151" s="481"/>
      <c r="D151" s="448"/>
      <c r="E151" s="254"/>
      <c r="F151" s="318"/>
      <c r="G151" s="385"/>
      <c r="H151" s="594"/>
    </row>
    <row r="152" spans="1:8" ht="15">
      <c r="A152" s="95" t="s">
        <v>43</v>
      </c>
      <c r="B152" s="444" t="s">
        <v>1135</v>
      </c>
      <c r="C152" s="454"/>
      <c r="D152" s="99" t="s">
        <v>689</v>
      </c>
      <c r="E152" s="99" t="s">
        <v>825</v>
      </c>
      <c r="F152" s="774" t="s">
        <v>825</v>
      </c>
      <c r="G152" s="880" t="s">
        <v>825</v>
      </c>
      <c r="H152" s="880"/>
    </row>
    <row r="153" spans="1:8" ht="15">
      <c r="A153" s="95" t="s">
        <v>44</v>
      </c>
      <c r="B153" s="444" t="s">
        <v>653</v>
      </c>
      <c r="C153" s="455"/>
      <c r="D153" s="99" t="s">
        <v>59</v>
      </c>
      <c r="E153" s="778"/>
      <c r="F153" s="349" t="e">
        <f>AVERAGEA(E153:E153)</f>
        <v>#DIV/0!</v>
      </c>
      <c r="G153" s="880"/>
      <c r="H153" s="880"/>
    </row>
    <row r="154" spans="1:8" ht="15">
      <c r="A154" s="95" t="s">
        <v>45</v>
      </c>
      <c r="B154" s="444" t="s">
        <v>179</v>
      </c>
      <c r="C154" s="89" t="s">
        <v>110</v>
      </c>
      <c r="D154" s="99" t="s">
        <v>99</v>
      </c>
      <c r="E154" s="878"/>
      <c r="F154" s="349" t="e">
        <f>AVERAGEA(E154:E154)</f>
        <v>#DIV/0!</v>
      </c>
      <c r="G154" s="880"/>
      <c r="H154" s="880"/>
    </row>
    <row r="155" spans="1:8" ht="15">
      <c r="A155" s="95" t="s">
        <v>46</v>
      </c>
      <c r="B155" s="88" t="s">
        <v>259</v>
      </c>
      <c r="C155" s="89" t="s">
        <v>110</v>
      </c>
      <c r="D155" s="91" t="s">
        <v>3</v>
      </c>
      <c r="E155" s="878"/>
      <c r="F155" s="349">
        <f>_xlfn.IFERROR(_xlfn.AVERAGEIF(E155:E155,"&gt;0",E155:E155),0)</f>
        <v>0</v>
      </c>
      <c r="G155" s="880"/>
      <c r="H155" s="880"/>
    </row>
    <row r="156" spans="1:8" ht="15">
      <c r="A156" s="95" t="s">
        <v>47</v>
      </c>
      <c r="B156" s="88" t="s">
        <v>740</v>
      </c>
      <c r="C156" s="89"/>
      <c r="D156" s="91" t="s">
        <v>257</v>
      </c>
      <c r="E156" s="878"/>
      <c r="F156" s="349">
        <f>_xlfn.IFERROR(_xlfn.AVERAGEIF(E156:E156,"&gt;0",E156:E156),0)</f>
        <v>0</v>
      </c>
      <c r="G156" s="880"/>
      <c r="H156" s="880"/>
    </row>
    <row r="157" spans="1:8" ht="15">
      <c r="A157" s="95" t="s">
        <v>48</v>
      </c>
      <c r="B157" s="88" t="s">
        <v>284</v>
      </c>
      <c r="C157" s="89" t="s">
        <v>110</v>
      </c>
      <c r="D157" s="91" t="s">
        <v>159</v>
      </c>
      <c r="E157" s="878"/>
      <c r="F157" s="349" t="e">
        <f>AVERAGEA(E157:E157)</f>
        <v>#DIV/0!</v>
      </c>
      <c r="G157" s="880"/>
      <c r="H157" s="880"/>
    </row>
    <row r="158" spans="1:8" ht="15">
      <c r="A158" s="95" t="s">
        <v>49</v>
      </c>
      <c r="B158" s="88" t="s">
        <v>1258</v>
      </c>
      <c r="C158" s="89" t="s">
        <v>110</v>
      </c>
      <c r="D158" s="91" t="s">
        <v>159</v>
      </c>
      <c r="E158" s="878"/>
      <c r="F158" s="349" t="e">
        <f>AVERAGEA(E158:E158)</f>
        <v>#DIV/0!</v>
      </c>
      <c r="G158" s="880"/>
      <c r="H158" s="880"/>
    </row>
    <row r="159" spans="1:8" ht="45">
      <c r="A159" s="95" t="s">
        <v>50</v>
      </c>
      <c r="B159" s="88" t="s">
        <v>1204</v>
      </c>
      <c r="C159" s="89" t="s">
        <v>110</v>
      </c>
      <c r="D159" s="91" t="s">
        <v>159</v>
      </c>
      <c r="E159" s="878"/>
      <c r="F159" s="349">
        <f>_xlfn.IFERROR(_xlfn.AVERAGEIF(E159:E159,"&gt;0",E159:E159),0)</f>
        <v>0</v>
      </c>
      <c r="G159" s="880"/>
      <c r="H159" s="880"/>
    </row>
    <row r="160" spans="1:8" ht="30">
      <c r="A160" s="95" t="s">
        <v>100</v>
      </c>
      <c r="B160" s="88" t="s">
        <v>1087</v>
      </c>
      <c r="C160" s="89" t="s">
        <v>110</v>
      </c>
      <c r="D160" s="91" t="s">
        <v>159</v>
      </c>
      <c r="E160" s="778"/>
      <c r="F160" s="349">
        <f>_xlfn.IFERROR(_xlfn.AVERAGEIF(E160:E160,"&gt;0",E160:E160),0)</f>
        <v>0</v>
      </c>
      <c r="G160" s="880"/>
      <c r="H160" s="880"/>
    </row>
    <row r="161" spans="1:8" ht="45.75" thickBot="1">
      <c r="A161" s="95" t="s">
        <v>101</v>
      </c>
      <c r="B161" s="88" t="s">
        <v>1088</v>
      </c>
      <c r="C161" s="89" t="s">
        <v>110</v>
      </c>
      <c r="D161" s="91" t="s">
        <v>159</v>
      </c>
      <c r="E161" s="778"/>
      <c r="F161" s="349">
        <f>_xlfn.IFERROR(_xlfn.AVERAGEIF(E161:E161,"&gt;0",E161:E161),0)</f>
        <v>0</v>
      </c>
      <c r="G161" s="880"/>
      <c r="H161" s="880"/>
    </row>
    <row r="162" spans="1:8" ht="30" customHeight="1" thickBot="1">
      <c r="A162" s="39" t="s">
        <v>102</v>
      </c>
      <c r="B162" s="40" t="s">
        <v>1240</v>
      </c>
      <c r="C162" s="53" t="s">
        <v>1372</v>
      </c>
      <c r="D162" s="39" t="s">
        <v>59</v>
      </c>
      <c r="E162" s="41">
        <f>_xlfn.IFERROR(E154*100/E157,0)</f>
        <v>0</v>
      </c>
      <c r="F162" s="41">
        <f>_xlfn.IFERROR(F154*100/F157,0)</f>
        <v>0</v>
      </c>
      <c r="G162" s="41">
        <f>_xlfn.IFERROR(G154*100/G157,0)</f>
        <v>0</v>
      </c>
      <c r="H162" s="338"/>
    </row>
    <row r="163" spans="1:8" ht="30.75" thickBot="1">
      <c r="A163" s="39" t="s">
        <v>880</v>
      </c>
      <c r="B163" s="40" t="s">
        <v>734</v>
      </c>
      <c r="C163" s="53" t="s">
        <v>1373</v>
      </c>
      <c r="D163" s="39"/>
      <c r="E163" s="41">
        <f>_xlfn.IFERROR((E158-E159)/E158,0)</f>
        <v>0</v>
      </c>
      <c r="F163" s="41">
        <f>_xlfn.IFERROR((F158-F159)/F158,0)</f>
        <v>0</v>
      </c>
      <c r="G163" s="41">
        <f>_xlfn.IFERROR((G158-G159)/G158,0)</f>
        <v>0</v>
      </c>
      <c r="H163" s="338"/>
    </row>
    <row r="164" spans="1:8" ht="51.75" customHeight="1" thickBot="1">
      <c r="A164" s="39" t="s">
        <v>1143</v>
      </c>
      <c r="B164" s="40" t="s">
        <v>1254</v>
      </c>
      <c r="C164" s="740" t="s">
        <v>1542</v>
      </c>
      <c r="D164" s="39" t="s">
        <v>3</v>
      </c>
      <c r="E164" s="41">
        <f>_xlfn.IFERROR(E154*100*100/(E153*E158*E163),0)</f>
        <v>0</v>
      </c>
      <c r="F164" s="41">
        <f>_xlfn.IFERROR((E164*E154)/(E154),0)</f>
        <v>0</v>
      </c>
      <c r="G164" s="41">
        <f>_xlfn.IFERROR(G154*100*100/(G153*G158*G163),0)</f>
        <v>0</v>
      </c>
      <c r="H164" s="338"/>
    </row>
    <row r="165" spans="1:8" ht="30.75" thickBot="1">
      <c r="A165" s="57" t="s">
        <v>1157</v>
      </c>
      <c r="B165" s="293" t="s">
        <v>738</v>
      </c>
      <c r="C165" s="289" t="s">
        <v>1374</v>
      </c>
      <c r="D165" s="57" t="s">
        <v>3</v>
      </c>
      <c r="E165" s="330">
        <f>_xlfn.IFERROR(E161*100/(E160+E161),0)</f>
        <v>0</v>
      </c>
      <c r="F165" s="330">
        <f>_xlfn.IFERROR(F161*100/(F160+F161),0)</f>
        <v>0</v>
      </c>
      <c r="G165" s="330">
        <f>_xlfn.IFERROR(G161*100/(G160+G161),0)</f>
        <v>0</v>
      </c>
      <c r="H165" s="335"/>
    </row>
    <row r="166" spans="1:8" ht="15">
      <c r="A166" s="525"/>
      <c r="B166" s="585"/>
      <c r="C166" s="732"/>
      <c r="D166" s="283"/>
      <c r="E166" s="304"/>
      <c r="F166" s="304"/>
      <c r="G166" s="304"/>
      <c r="H166" s="604"/>
    </row>
    <row r="167" spans="1:8" ht="15">
      <c r="A167" s="452" t="s">
        <v>736</v>
      </c>
      <c r="B167" s="453" t="s">
        <v>1235</v>
      </c>
      <c r="C167" s="481"/>
      <c r="D167" s="448"/>
      <c r="E167" s="254"/>
      <c r="F167" s="318"/>
      <c r="G167" s="385"/>
      <c r="H167" s="594"/>
    </row>
    <row r="168" spans="1:8" ht="15">
      <c r="A168" s="95" t="s">
        <v>43</v>
      </c>
      <c r="B168" s="444" t="s">
        <v>1135</v>
      </c>
      <c r="C168" s="454"/>
      <c r="D168" s="99" t="s">
        <v>689</v>
      </c>
      <c r="E168" s="773" t="s">
        <v>1617</v>
      </c>
      <c r="F168" s="774" t="s">
        <v>1617</v>
      </c>
      <c r="G168" s="773" t="s">
        <v>1617</v>
      </c>
      <c r="H168" s="588"/>
    </row>
    <row r="169" spans="1:8" ht="15">
      <c r="A169" s="95" t="s">
        <v>44</v>
      </c>
      <c r="B169" s="444" t="s">
        <v>653</v>
      </c>
      <c r="C169" s="455"/>
      <c r="D169" s="99" t="s">
        <v>59</v>
      </c>
      <c r="E169" s="778">
        <v>0</v>
      </c>
      <c r="F169" s="349">
        <f>AVERAGEA(E169:E169)</f>
        <v>0</v>
      </c>
      <c r="G169" s="778">
        <v>0</v>
      </c>
      <c r="H169" s="588"/>
    </row>
    <row r="170" spans="1:8" ht="15">
      <c r="A170" s="95" t="s">
        <v>45</v>
      </c>
      <c r="B170" s="444" t="s">
        <v>179</v>
      </c>
      <c r="C170" s="89" t="s">
        <v>110</v>
      </c>
      <c r="D170" s="99" t="s">
        <v>99</v>
      </c>
      <c r="E170" s="778">
        <v>0</v>
      </c>
      <c r="F170" s="349">
        <f>AVERAGEA(E170:E170)</f>
        <v>0</v>
      </c>
      <c r="G170" s="778">
        <v>0</v>
      </c>
      <c r="H170" s="588"/>
    </row>
    <row r="171" spans="1:8" ht="15">
      <c r="A171" s="95" t="s">
        <v>46</v>
      </c>
      <c r="B171" s="88" t="s">
        <v>259</v>
      </c>
      <c r="C171" s="89" t="s">
        <v>110</v>
      </c>
      <c r="D171" s="91" t="s">
        <v>3</v>
      </c>
      <c r="E171" s="900"/>
      <c r="F171" s="349">
        <f>_xlfn.IFERROR(_xlfn.AVERAGEIF(E171:E171,"&gt;0",E171:E171),0)</f>
        <v>0</v>
      </c>
      <c r="G171" s="778">
        <v>0</v>
      </c>
      <c r="H171" s="588"/>
    </row>
    <row r="172" spans="1:8" ht="15">
      <c r="A172" s="95" t="s">
        <v>47</v>
      </c>
      <c r="B172" s="88" t="s">
        <v>740</v>
      </c>
      <c r="C172" s="89"/>
      <c r="D172" s="91" t="s">
        <v>257</v>
      </c>
      <c r="E172" s="900"/>
      <c r="F172" s="349">
        <f>_xlfn.IFERROR(_xlfn.AVERAGEIF(E172:E172,"&gt;0",E172:E172),0)</f>
        <v>0</v>
      </c>
      <c r="G172" s="778">
        <v>0</v>
      </c>
      <c r="H172" s="588"/>
    </row>
    <row r="173" spans="1:8" ht="15">
      <c r="A173" s="95" t="s">
        <v>48</v>
      </c>
      <c r="B173" s="88" t="s">
        <v>284</v>
      </c>
      <c r="C173" s="89" t="s">
        <v>110</v>
      </c>
      <c r="D173" s="91" t="s">
        <v>159</v>
      </c>
      <c r="E173" s="778">
        <v>0</v>
      </c>
      <c r="F173" s="349">
        <f>AVERAGEA(E173:E173)</f>
        <v>0</v>
      </c>
      <c r="G173" s="778">
        <v>0</v>
      </c>
      <c r="H173" s="588"/>
    </row>
    <row r="174" spans="1:8" ht="15">
      <c r="A174" s="95" t="s">
        <v>49</v>
      </c>
      <c r="B174" s="88" t="s">
        <v>1253</v>
      </c>
      <c r="C174" s="89" t="s">
        <v>110</v>
      </c>
      <c r="D174" s="91" t="s">
        <v>159</v>
      </c>
      <c r="E174" s="778">
        <v>0</v>
      </c>
      <c r="F174" s="349">
        <f>AVERAGEA(E174:E174)</f>
        <v>0</v>
      </c>
      <c r="G174" s="778">
        <v>0</v>
      </c>
      <c r="H174" s="588"/>
    </row>
    <row r="175" spans="1:8" ht="45">
      <c r="A175" s="95" t="s">
        <v>50</v>
      </c>
      <c r="B175" s="88" t="s">
        <v>1204</v>
      </c>
      <c r="C175" s="89" t="s">
        <v>110</v>
      </c>
      <c r="D175" s="91" t="s">
        <v>159</v>
      </c>
      <c r="E175" s="900"/>
      <c r="F175" s="349">
        <f>_xlfn.IFERROR(_xlfn.AVERAGEIF(E175:E175,"&gt;0",E175:E175),0)</f>
        <v>0</v>
      </c>
      <c r="G175" s="778">
        <v>0</v>
      </c>
      <c r="H175" s="588"/>
    </row>
    <row r="176" spans="1:8" ht="30">
      <c r="A176" s="95" t="s">
        <v>100</v>
      </c>
      <c r="B176" s="88" t="s">
        <v>1087</v>
      </c>
      <c r="C176" s="89" t="s">
        <v>110</v>
      </c>
      <c r="D176" s="91" t="s">
        <v>159</v>
      </c>
      <c r="E176" s="900"/>
      <c r="F176" s="349">
        <f>_xlfn.IFERROR(_xlfn.AVERAGEIF(E176:E176,"&gt;0",E176:E176),0)</f>
        <v>0</v>
      </c>
      <c r="G176" s="778">
        <v>0</v>
      </c>
      <c r="H176" s="588"/>
    </row>
    <row r="177" spans="1:8" ht="45.75" thickBot="1">
      <c r="A177" s="95" t="s">
        <v>101</v>
      </c>
      <c r="B177" s="88" t="s">
        <v>1088</v>
      </c>
      <c r="C177" s="89" t="s">
        <v>110</v>
      </c>
      <c r="D177" s="91" t="s">
        <v>159</v>
      </c>
      <c r="E177" s="900"/>
      <c r="F177" s="349">
        <f>_xlfn.IFERROR(_xlfn.AVERAGEIF(E177:E177,"&gt;0",E177:E177),0)</f>
        <v>0</v>
      </c>
      <c r="G177" s="778">
        <v>0</v>
      </c>
      <c r="H177" s="588"/>
    </row>
    <row r="178" spans="1:8" ht="39" customHeight="1" thickBot="1">
      <c r="A178" s="39" t="s">
        <v>102</v>
      </c>
      <c r="B178" s="40" t="s">
        <v>1240</v>
      </c>
      <c r="C178" s="53" t="s">
        <v>1375</v>
      </c>
      <c r="D178" s="39" t="s">
        <v>59</v>
      </c>
      <c r="E178" s="41">
        <f>_xlfn.IFERROR(E170*100/E173,0)</f>
        <v>0</v>
      </c>
      <c r="F178" s="41">
        <f>_xlfn.IFERROR(F170*100/F173,0)</f>
        <v>0</v>
      </c>
      <c r="G178" s="41">
        <f>_xlfn.IFERROR(G170*100/G173,0)</f>
        <v>0</v>
      </c>
      <c r="H178" s="338"/>
    </row>
    <row r="179" spans="1:8" ht="30.75" thickBot="1">
      <c r="A179" s="39" t="s">
        <v>880</v>
      </c>
      <c r="B179" s="40" t="s">
        <v>734</v>
      </c>
      <c r="C179" s="53" t="s">
        <v>1376</v>
      </c>
      <c r="D179" s="39"/>
      <c r="E179" s="41">
        <f>_xlfn.IFERROR((E174-E175)/E174,0)</f>
        <v>0</v>
      </c>
      <c r="F179" s="41">
        <f>_xlfn.IFERROR((F174-F175)/F174,0)</f>
        <v>0</v>
      </c>
      <c r="G179" s="41">
        <f>_xlfn.IFERROR((G174-G175)/G174,0)</f>
        <v>0</v>
      </c>
      <c r="H179" s="338"/>
    </row>
    <row r="180" spans="1:8" ht="39" thickBot="1">
      <c r="A180" s="39" t="s">
        <v>1143</v>
      </c>
      <c r="B180" s="40" t="s">
        <v>1254</v>
      </c>
      <c r="C180" s="740" t="s">
        <v>1543</v>
      </c>
      <c r="D180" s="39" t="s">
        <v>3</v>
      </c>
      <c r="E180" s="41">
        <f>_xlfn.IFERROR(E170*100*100/(E169*E174*E179),0)</f>
        <v>0</v>
      </c>
      <c r="F180" s="41">
        <f>_xlfn.IFERROR((E180*E170)/(E170),0)</f>
        <v>0</v>
      </c>
      <c r="G180" s="41">
        <f>_xlfn.IFERROR(G170*100*100/(G169*G174*G179),0)</f>
        <v>0</v>
      </c>
      <c r="H180" s="338"/>
    </row>
    <row r="181" spans="1:8" ht="30.75" thickBot="1">
      <c r="A181" s="57" t="s">
        <v>1157</v>
      </c>
      <c r="B181" s="293" t="s">
        <v>738</v>
      </c>
      <c r="C181" s="289" t="s">
        <v>1377</v>
      </c>
      <c r="D181" s="57" t="s">
        <v>3</v>
      </c>
      <c r="E181" s="330">
        <f>_xlfn.IFERROR(E177*100/(E176+E177),0)</f>
        <v>0</v>
      </c>
      <c r="F181" s="330">
        <f>_xlfn.IFERROR(F177*100/(F176+F177),0)</f>
        <v>0</v>
      </c>
      <c r="G181" s="330">
        <f>_xlfn.IFERROR(G177*100/(G176+G177),0)</f>
        <v>0</v>
      </c>
      <c r="H181" s="335"/>
    </row>
    <row r="182" spans="1:8" ht="15">
      <c r="A182" s="525"/>
      <c r="B182" s="585"/>
      <c r="C182" s="732"/>
      <c r="D182" s="283"/>
      <c r="E182" s="304"/>
      <c r="F182" s="304"/>
      <c r="G182" s="304"/>
      <c r="H182" s="604"/>
    </row>
    <row r="183" spans="1:8" ht="15">
      <c r="A183" s="452" t="s">
        <v>1236</v>
      </c>
      <c r="B183" s="453" t="s">
        <v>1237</v>
      </c>
      <c r="C183" s="481"/>
      <c r="D183" s="448"/>
      <c r="E183" s="254"/>
      <c r="F183" s="318"/>
      <c r="G183" s="385"/>
      <c r="H183" s="594"/>
    </row>
    <row r="184" spans="1:8" ht="15">
      <c r="A184" s="95" t="s">
        <v>43</v>
      </c>
      <c r="B184" s="444" t="s">
        <v>1135</v>
      </c>
      <c r="C184" s="454"/>
      <c r="D184" s="99" t="s">
        <v>689</v>
      </c>
      <c r="E184" s="773" t="s">
        <v>1617</v>
      </c>
      <c r="F184" s="774" t="s">
        <v>1617</v>
      </c>
      <c r="G184" s="773" t="s">
        <v>1617</v>
      </c>
      <c r="H184" s="588"/>
    </row>
    <row r="185" spans="1:8" ht="15">
      <c r="A185" s="95" t="s">
        <v>44</v>
      </c>
      <c r="B185" s="444" t="s">
        <v>653</v>
      </c>
      <c r="C185" s="455"/>
      <c r="D185" s="99" t="s">
        <v>59</v>
      </c>
      <c r="E185" s="778">
        <v>0</v>
      </c>
      <c r="F185" s="349">
        <f>AVERAGEA(E185:E185)</f>
        <v>0</v>
      </c>
      <c r="G185" s="778">
        <v>0</v>
      </c>
      <c r="H185" s="588"/>
    </row>
    <row r="186" spans="1:8" ht="15">
      <c r="A186" s="95" t="s">
        <v>45</v>
      </c>
      <c r="B186" s="444" t="s">
        <v>179</v>
      </c>
      <c r="C186" s="89" t="s">
        <v>110</v>
      </c>
      <c r="D186" s="99" t="s">
        <v>99</v>
      </c>
      <c r="E186" s="778">
        <v>0</v>
      </c>
      <c r="F186" s="349">
        <f>AVERAGEA(E186:E186)</f>
        <v>0</v>
      </c>
      <c r="G186" s="778">
        <v>0</v>
      </c>
      <c r="H186" s="588"/>
    </row>
    <row r="187" spans="1:8" ht="15">
      <c r="A187" s="95" t="s">
        <v>46</v>
      </c>
      <c r="B187" s="88" t="s">
        <v>259</v>
      </c>
      <c r="C187" s="89" t="s">
        <v>110</v>
      </c>
      <c r="D187" s="91" t="s">
        <v>3</v>
      </c>
      <c r="E187" s="900"/>
      <c r="F187" s="349">
        <f>_xlfn.IFERROR(_xlfn.AVERAGEIF(E187:E187,"&gt;0",E187:E187),0)</f>
        <v>0</v>
      </c>
      <c r="G187" s="778">
        <v>0</v>
      </c>
      <c r="H187" s="588"/>
    </row>
    <row r="188" spans="1:8" ht="15">
      <c r="A188" s="95" t="s">
        <v>47</v>
      </c>
      <c r="B188" s="88" t="s">
        <v>740</v>
      </c>
      <c r="C188" s="89"/>
      <c r="D188" s="91" t="s">
        <v>257</v>
      </c>
      <c r="E188" s="900"/>
      <c r="F188" s="349">
        <f>_xlfn.IFERROR(_xlfn.AVERAGEIF(E188:E188,"&gt;0",E188:E188),0)</f>
        <v>0</v>
      </c>
      <c r="G188" s="778">
        <v>0</v>
      </c>
      <c r="H188" s="588"/>
    </row>
    <row r="189" spans="1:8" ht="15">
      <c r="A189" s="95" t="s">
        <v>48</v>
      </c>
      <c r="B189" s="88" t="s">
        <v>284</v>
      </c>
      <c r="C189" s="89" t="s">
        <v>110</v>
      </c>
      <c r="D189" s="91" t="s">
        <v>159</v>
      </c>
      <c r="E189" s="778">
        <v>0</v>
      </c>
      <c r="F189" s="349">
        <f>AVERAGEA(E189:E189)</f>
        <v>0</v>
      </c>
      <c r="G189" s="778">
        <v>0</v>
      </c>
      <c r="H189" s="588"/>
    </row>
    <row r="190" spans="1:8" ht="15">
      <c r="A190" s="95" t="s">
        <v>49</v>
      </c>
      <c r="B190" s="88" t="s">
        <v>1253</v>
      </c>
      <c r="C190" s="89" t="s">
        <v>110</v>
      </c>
      <c r="D190" s="91" t="s">
        <v>159</v>
      </c>
      <c r="E190" s="778">
        <v>0</v>
      </c>
      <c r="F190" s="349">
        <f>AVERAGEA(E190:E190)</f>
        <v>0</v>
      </c>
      <c r="G190" s="778">
        <v>0</v>
      </c>
      <c r="H190" s="588"/>
    </row>
    <row r="191" spans="1:8" ht="45">
      <c r="A191" s="95" t="s">
        <v>50</v>
      </c>
      <c r="B191" s="88" t="s">
        <v>1204</v>
      </c>
      <c r="C191" s="89" t="s">
        <v>110</v>
      </c>
      <c r="D191" s="91" t="s">
        <v>159</v>
      </c>
      <c r="E191" s="900"/>
      <c r="F191" s="349">
        <f>_xlfn.IFERROR(_xlfn.AVERAGEIF(E191:E191,"&gt;0",E191:E191),0)</f>
        <v>0</v>
      </c>
      <c r="G191" s="778">
        <v>0</v>
      </c>
      <c r="H191" s="588"/>
    </row>
    <row r="192" spans="1:8" ht="30">
      <c r="A192" s="95" t="s">
        <v>100</v>
      </c>
      <c r="B192" s="88" t="s">
        <v>1087</v>
      </c>
      <c r="C192" s="89" t="s">
        <v>110</v>
      </c>
      <c r="D192" s="91" t="s">
        <v>159</v>
      </c>
      <c r="E192" s="900"/>
      <c r="F192" s="349">
        <f>_xlfn.IFERROR(_xlfn.AVERAGEIF(E192:E192,"&gt;0",E192:E192),0)</f>
        <v>0</v>
      </c>
      <c r="G192" s="778">
        <v>0</v>
      </c>
      <c r="H192" s="588"/>
    </row>
    <row r="193" spans="1:8" ht="45.75" thickBot="1">
      <c r="A193" s="95" t="s">
        <v>101</v>
      </c>
      <c r="B193" s="88" t="s">
        <v>1088</v>
      </c>
      <c r="C193" s="89" t="s">
        <v>110</v>
      </c>
      <c r="D193" s="91" t="s">
        <v>159</v>
      </c>
      <c r="E193" s="900"/>
      <c r="F193" s="349">
        <f>_xlfn.IFERROR(_xlfn.AVERAGEIF(E193:E193,"&gt;0",E193:E193),0)</f>
        <v>0</v>
      </c>
      <c r="G193" s="778">
        <v>0</v>
      </c>
      <c r="H193" s="588"/>
    </row>
    <row r="194" spans="1:8" ht="32.25" customHeight="1" thickBot="1">
      <c r="A194" s="39" t="s">
        <v>102</v>
      </c>
      <c r="B194" s="40" t="s">
        <v>1240</v>
      </c>
      <c r="C194" s="53" t="s">
        <v>1378</v>
      </c>
      <c r="D194" s="39" t="s">
        <v>59</v>
      </c>
      <c r="E194" s="41">
        <f>_xlfn.IFERROR(E186*100/E189,0)</f>
        <v>0</v>
      </c>
      <c r="F194" s="41">
        <f>_xlfn.IFERROR(F186*100/F189,0)</f>
        <v>0</v>
      </c>
      <c r="G194" s="41">
        <f>_xlfn.IFERROR(G186*100/G189,0)</f>
        <v>0</v>
      </c>
      <c r="H194" s="338"/>
    </row>
    <row r="195" spans="1:8" ht="30.75" thickBot="1">
      <c r="A195" s="39" t="s">
        <v>880</v>
      </c>
      <c r="B195" s="40" t="s">
        <v>734</v>
      </c>
      <c r="C195" s="53" t="s">
        <v>1379</v>
      </c>
      <c r="D195" s="39"/>
      <c r="E195" s="41">
        <f>_xlfn.IFERROR((E190-E191)/E190,0)</f>
        <v>0</v>
      </c>
      <c r="F195" s="41">
        <f>_xlfn.IFERROR((F190-F191)/F190,0)</f>
        <v>0</v>
      </c>
      <c r="G195" s="41">
        <f>_xlfn.IFERROR((G190-G191)/G190,0)</f>
        <v>0</v>
      </c>
      <c r="H195" s="338"/>
    </row>
    <row r="196" spans="1:8" ht="39" thickBot="1">
      <c r="A196" s="39" t="s">
        <v>1143</v>
      </c>
      <c r="B196" s="40" t="s">
        <v>1254</v>
      </c>
      <c r="C196" s="740" t="s">
        <v>1544</v>
      </c>
      <c r="D196" s="39" t="s">
        <v>3</v>
      </c>
      <c r="E196" s="41">
        <f>_xlfn.IFERROR(E186*100*100/(E185*E190*E195),0)</f>
        <v>0</v>
      </c>
      <c r="F196" s="41">
        <f>_xlfn.IFERROR((E196*E186)/(E186),0)</f>
        <v>0</v>
      </c>
      <c r="G196" s="41">
        <f>_xlfn.IFERROR(G186*100*100/(G185*G190*G195),0)</f>
        <v>0</v>
      </c>
      <c r="H196" s="338"/>
    </row>
    <row r="197" spans="1:8" ht="30.75" thickBot="1">
      <c r="A197" s="57" t="s">
        <v>1157</v>
      </c>
      <c r="B197" s="293" t="s">
        <v>738</v>
      </c>
      <c r="C197" s="289" t="s">
        <v>1380</v>
      </c>
      <c r="D197" s="57" t="s">
        <v>3</v>
      </c>
      <c r="E197" s="330">
        <f>_xlfn.IFERROR(E193*100/(E192+E193),0)</f>
        <v>0</v>
      </c>
      <c r="F197" s="330">
        <f>_xlfn.IFERROR(F193*100/(F192+F193),0)</f>
        <v>0</v>
      </c>
      <c r="G197" s="330">
        <f>_xlfn.IFERROR(G193*100/(G192+G193),0)</f>
        <v>0</v>
      </c>
      <c r="H197" s="335"/>
    </row>
    <row r="198" spans="1:8" ht="15">
      <c r="A198" s="525"/>
      <c r="B198" s="585"/>
      <c r="C198" s="732"/>
      <c r="D198" s="283"/>
      <c r="E198" s="304"/>
      <c r="F198" s="304"/>
      <c r="G198" s="304"/>
      <c r="H198" s="604"/>
    </row>
    <row r="199" spans="1:8" ht="15">
      <c r="A199" s="452" t="s">
        <v>1239</v>
      </c>
      <c r="B199" s="453" t="s">
        <v>1249</v>
      </c>
      <c r="C199" s="481"/>
      <c r="D199" s="448"/>
      <c r="E199" s="254"/>
      <c r="F199" s="318"/>
      <c r="G199" s="385"/>
      <c r="H199" s="594"/>
    </row>
    <row r="200" spans="1:8" ht="15">
      <c r="A200" s="95" t="s">
        <v>43</v>
      </c>
      <c r="B200" s="444" t="s">
        <v>1135</v>
      </c>
      <c r="C200" s="454"/>
      <c r="D200" s="99" t="s">
        <v>689</v>
      </c>
      <c r="E200" s="773" t="s">
        <v>1617</v>
      </c>
      <c r="F200" s="774" t="s">
        <v>1617</v>
      </c>
      <c r="G200" s="773" t="s">
        <v>1617</v>
      </c>
      <c r="H200" s="588"/>
    </row>
    <row r="201" spans="1:8" ht="15">
      <c r="A201" s="95" t="s">
        <v>44</v>
      </c>
      <c r="B201" s="444" t="s">
        <v>653</v>
      </c>
      <c r="C201" s="455"/>
      <c r="D201" s="99" t="s">
        <v>59</v>
      </c>
      <c r="E201" s="778">
        <v>0</v>
      </c>
      <c r="F201" s="349">
        <f>AVERAGEA(E201:E201)</f>
        <v>0</v>
      </c>
      <c r="G201" s="778">
        <v>0</v>
      </c>
      <c r="H201" s="588"/>
    </row>
    <row r="202" spans="1:8" ht="15">
      <c r="A202" s="95" t="s">
        <v>45</v>
      </c>
      <c r="B202" s="444" t="s">
        <v>179</v>
      </c>
      <c r="C202" s="89" t="s">
        <v>110</v>
      </c>
      <c r="D202" s="99" t="s">
        <v>99</v>
      </c>
      <c r="E202" s="778">
        <v>0</v>
      </c>
      <c r="F202" s="349">
        <f>AVERAGEA(E202:E202)</f>
        <v>0</v>
      </c>
      <c r="G202" s="778">
        <v>0</v>
      </c>
      <c r="H202" s="588"/>
    </row>
    <row r="203" spans="1:8" ht="15">
      <c r="A203" s="95" t="s">
        <v>46</v>
      </c>
      <c r="B203" s="88" t="s">
        <v>259</v>
      </c>
      <c r="C203" s="89" t="s">
        <v>110</v>
      </c>
      <c r="D203" s="91" t="s">
        <v>3</v>
      </c>
      <c r="E203" s="900"/>
      <c r="F203" s="349">
        <f>_xlfn.IFERROR(_xlfn.AVERAGEIF(E203:E203,"&gt;0",E203:E203),0)</f>
        <v>0</v>
      </c>
      <c r="G203" s="778">
        <v>0</v>
      </c>
      <c r="H203" s="588"/>
    </row>
    <row r="204" spans="1:8" ht="15">
      <c r="A204" s="95" t="s">
        <v>47</v>
      </c>
      <c r="B204" s="88" t="s">
        <v>740</v>
      </c>
      <c r="C204" s="89"/>
      <c r="D204" s="91" t="s">
        <v>257</v>
      </c>
      <c r="E204" s="900"/>
      <c r="F204" s="349">
        <f>_xlfn.IFERROR(_xlfn.AVERAGEIF(E204:E204,"&gt;0",E204:E204),0)</f>
        <v>0</v>
      </c>
      <c r="G204" s="778">
        <v>0</v>
      </c>
      <c r="H204" s="588"/>
    </row>
    <row r="205" spans="1:8" ht="15">
      <c r="A205" s="95" t="s">
        <v>48</v>
      </c>
      <c r="B205" s="88" t="s">
        <v>284</v>
      </c>
      <c r="C205" s="89" t="s">
        <v>110</v>
      </c>
      <c r="D205" s="91" t="s">
        <v>159</v>
      </c>
      <c r="E205" s="778">
        <v>0</v>
      </c>
      <c r="F205" s="349">
        <f>AVERAGEA(E205:E205)</f>
        <v>0</v>
      </c>
      <c r="G205" s="778">
        <v>0</v>
      </c>
      <c r="H205" s="588"/>
    </row>
    <row r="206" spans="1:8" ht="15">
      <c r="A206" s="95" t="s">
        <v>49</v>
      </c>
      <c r="B206" s="88" t="s">
        <v>1253</v>
      </c>
      <c r="C206" s="89" t="s">
        <v>110</v>
      </c>
      <c r="D206" s="91" t="s">
        <v>159</v>
      </c>
      <c r="E206" s="778">
        <v>0</v>
      </c>
      <c r="F206" s="349">
        <f>AVERAGEA(E206:E206)</f>
        <v>0</v>
      </c>
      <c r="G206" s="778">
        <v>0</v>
      </c>
      <c r="H206" s="588"/>
    </row>
    <row r="207" spans="1:8" ht="45">
      <c r="A207" s="95" t="s">
        <v>50</v>
      </c>
      <c r="B207" s="88" t="s">
        <v>1204</v>
      </c>
      <c r="C207" s="89" t="s">
        <v>110</v>
      </c>
      <c r="D207" s="91" t="s">
        <v>159</v>
      </c>
      <c r="E207" s="900"/>
      <c r="F207" s="349">
        <f>_xlfn.IFERROR(_xlfn.AVERAGEIF(E207:E207,"&gt;0",E207:E207),0)</f>
        <v>0</v>
      </c>
      <c r="G207" s="778">
        <v>0</v>
      </c>
      <c r="H207" s="588"/>
    </row>
    <row r="208" spans="1:8" ht="30">
      <c r="A208" s="95" t="s">
        <v>100</v>
      </c>
      <c r="B208" s="88" t="s">
        <v>1087</v>
      </c>
      <c r="C208" s="89" t="s">
        <v>110</v>
      </c>
      <c r="D208" s="91" t="s">
        <v>159</v>
      </c>
      <c r="E208" s="900"/>
      <c r="F208" s="349">
        <f>_xlfn.IFERROR(_xlfn.AVERAGEIF(E208:E208,"&gt;0",E208:E208),0)</f>
        <v>0</v>
      </c>
      <c r="G208" s="778">
        <v>0</v>
      </c>
      <c r="H208" s="588"/>
    </row>
    <row r="209" spans="1:8" ht="45.75" thickBot="1">
      <c r="A209" s="95" t="s">
        <v>101</v>
      </c>
      <c r="B209" s="88" t="s">
        <v>1088</v>
      </c>
      <c r="C209" s="89" t="s">
        <v>110</v>
      </c>
      <c r="D209" s="91" t="s">
        <v>159</v>
      </c>
      <c r="E209" s="900"/>
      <c r="F209" s="349">
        <f>_xlfn.IFERROR(_xlfn.AVERAGEIF(E209:E209,"&gt;0",E209:E209),0)</f>
        <v>0</v>
      </c>
      <c r="G209" s="778">
        <v>0</v>
      </c>
      <c r="H209" s="588"/>
    </row>
    <row r="210" spans="1:8" ht="33" customHeight="1" thickBot="1">
      <c r="A210" s="39" t="s">
        <v>102</v>
      </c>
      <c r="B210" s="40" t="s">
        <v>1240</v>
      </c>
      <c r="C210" s="53" t="s">
        <v>1381</v>
      </c>
      <c r="D210" s="39" t="s">
        <v>59</v>
      </c>
      <c r="E210" s="41">
        <f>_xlfn.IFERROR(E202*100/E205,0)</f>
        <v>0</v>
      </c>
      <c r="F210" s="41">
        <f>_xlfn.IFERROR(F202*100/F205,0)</f>
        <v>0</v>
      </c>
      <c r="G210" s="41">
        <f>_xlfn.IFERROR(G202*100/G205,0)</f>
        <v>0</v>
      </c>
      <c r="H210" s="338"/>
    </row>
    <row r="211" spans="1:8" ht="30.75" thickBot="1">
      <c r="A211" s="39" t="s">
        <v>880</v>
      </c>
      <c r="B211" s="40" t="s">
        <v>734</v>
      </c>
      <c r="C211" s="53" t="s">
        <v>1382</v>
      </c>
      <c r="D211" s="39"/>
      <c r="E211" s="41">
        <f>_xlfn.IFERROR((E206-E207)/E206,0)</f>
        <v>0</v>
      </c>
      <c r="F211" s="41">
        <f>_xlfn.IFERROR((F206-F207)/F206,0)</f>
        <v>0</v>
      </c>
      <c r="G211" s="41">
        <f>_xlfn.IFERROR((G206-G207)/G206,0)</f>
        <v>0</v>
      </c>
      <c r="H211" s="338"/>
    </row>
    <row r="212" spans="1:8" ht="39" thickBot="1">
      <c r="A212" s="39" t="s">
        <v>1143</v>
      </c>
      <c r="B212" s="40" t="s">
        <v>1254</v>
      </c>
      <c r="C212" s="740" t="s">
        <v>1545</v>
      </c>
      <c r="D212" s="39" t="s">
        <v>3</v>
      </c>
      <c r="E212" s="41">
        <f>_xlfn.IFERROR(E202*100*100/(E201*E206*E211),0)</f>
        <v>0</v>
      </c>
      <c r="F212" s="41">
        <f>_xlfn.IFERROR((E212*E202)/(E202),0)</f>
        <v>0</v>
      </c>
      <c r="G212" s="41">
        <f>_xlfn.IFERROR(G202*100*100/(G201*G206*G211),0)</f>
        <v>0</v>
      </c>
      <c r="H212" s="338"/>
    </row>
    <row r="213" spans="1:8" ht="30.75" thickBot="1">
      <c r="A213" s="57" t="s">
        <v>1157</v>
      </c>
      <c r="B213" s="293" t="s">
        <v>738</v>
      </c>
      <c r="C213" s="289" t="s">
        <v>1383</v>
      </c>
      <c r="D213" s="57" t="s">
        <v>3</v>
      </c>
      <c r="E213" s="330">
        <f>_xlfn.IFERROR(E209*100/(E208+E209),0)</f>
        <v>0</v>
      </c>
      <c r="F213" s="330">
        <f>_xlfn.IFERROR(F209*100/(F208+F209),0)</f>
        <v>0</v>
      </c>
      <c r="G213" s="330">
        <f>_xlfn.IFERROR(G209*100/(G208+G209),0)</f>
        <v>0</v>
      </c>
      <c r="H213" s="335"/>
    </row>
    <row r="214" spans="1:8" ht="15">
      <c r="A214" s="525"/>
      <c r="B214" s="585"/>
      <c r="C214" s="732"/>
      <c r="D214" s="283"/>
      <c r="E214" s="304"/>
      <c r="F214" s="304"/>
      <c r="G214" s="304"/>
      <c r="H214" s="604"/>
    </row>
    <row r="215" spans="1:8" ht="15">
      <c r="A215" s="452" t="s">
        <v>1257</v>
      </c>
      <c r="B215" s="453" t="s">
        <v>1238</v>
      </c>
      <c r="C215" s="481"/>
      <c r="D215" s="448"/>
      <c r="E215" s="254"/>
      <c r="F215" s="318"/>
      <c r="G215" s="385"/>
      <c r="H215" s="594"/>
    </row>
    <row r="216" spans="1:8" ht="15">
      <c r="A216" s="95" t="s">
        <v>43</v>
      </c>
      <c r="B216" s="444" t="s">
        <v>1135</v>
      </c>
      <c r="C216" s="454"/>
      <c r="D216" s="99" t="s">
        <v>689</v>
      </c>
      <c r="E216" s="773" t="s">
        <v>825</v>
      </c>
      <c r="F216" s="773" t="s">
        <v>825</v>
      </c>
      <c r="G216" s="773" t="s">
        <v>825</v>
      </c>
      <c r="H216" s="588"/>
    </row>
    <row r="217" spans="1:8" ht="15">
      <c r="A217" s="95" t="s">
        <v>44</v>
      </c>
      <c r="B217" s="444" t="s">
        <v>653</v>
      </c>
      <c r="C217" s="455"/>
      <c r="D217" s="99" t="s">
        <v>59</v>
      </c>
      <c r="E217" s="349">
        <f aca="true" t="shared" si="8" ref="E217:G218">E137+E153+E169+E185+E201</f>
        <v>0</v>
      </c>
      <c r="F217" s="349" t="e">
        <f t="shared" si="8"/>
        <v>#DIV/0!</v>
      </c>
      <c r="G217" s="349">
        <f t="shared" si="8"/>
        <v>0</v>
      </c>
      <c r="H217" s="588"/>
    </row>
    <row r="218" spans="1:8" ht="15">
      <c r="A218" s="95" t="s">
        <v>45</v>
      </c>
      <c r="B218" s="444" t="s">
        <v>179</v>
      </c>
      <c r="C218" s="89" t="s">
        <v>110</v>
      </c>
      <c r="D218" s="99" t="s">
        <v>99</v>
      </c>
      <c r="E218" s="349">
        <f t="shared" si="8"/>
        <v>0</v>
      </c>
      <c r="F218" s="349" t="e">
        <f t="shared" si="8"/>
        <v>#DIV/0!</v>
      </c>
      <c r="G218" s="349">
        <f t="shared" si="8"/>
        <v>0</v>
      </c>
      <c r="H218" s="588"/>
    </row>
    <row r="219" spans="1:8" ht="15">
      <c r="A219" s="95" t="s">
        <v>46</v>
      </c>
      <c r="B219" s="88" t="s">
        <v>259</v>
      </c>
      <c r="C219" s="89" t="s">
        <v>110</v>
      </c>
      <c r="D219" s="91" t="s">
        <v>3</v>
      </c>
      <c r="E219" s="349">
        <f>_xlfn.IFERROR((E139*E138+E155*E154+E171*E170+E186*E187+E203*E202)/(E186+E170+E154+E138+E202),0)</f>
        <v>0</v>
      </c>
      <c r="F219" s="349">
        <f>_xlfn.IFERROR((F139*F138+F155*F154+F171*F170+F186*F187+F203*F202)/(F186+F170+F154+F138+F202),0)</f>
        <v>0</v>
      </c>
      <c r="G219" s="349">
        <f>_xlfn.IFERROR((G139*G138+G155*G154+G171*G170+G186*G187+G203*G202)/(G186+G170+G154+G138+G202),0)</f>
        <v>0</v>
      </c>
      <c r="H219" s="588"/>
    </row>
    <row r="220" spans="1:8" ht="15">
      <c r="A220" s="95" t="s">
        <v>47</v>
      </c>
      <c r="B220" s="88" t="s">
        <v>740</v>
      </c>
      <c r="C220" s="89"/>
      <c r="D220" s="91" t="s">
        <v>257</v>
      </c>
      <c r="E220" s="349">
        <f>_xlfn.IFERROR((E140*E137+E156*E153+E172*E169+E188*E185+E204*E201)/(E137+E153+E169+E185+E201),0)</f>
        <v>0</v>
      </c>
      <c r="F220" s="349">
        <f>_xlfn.IFERROR((F140*F137+F156*F153+F172*F169+F188*F185+F204*F201)/(F137+F153+F169+F185+F201),0)</f>
        <v>0</v>
      </c>
      <c r="G220" s="349">
        <f>_xlfn.IFERROR((G140*G137+G156*G153+G172*G169+G188*G185+G204*G201)/(G137+G153+G169+G185+G201),0)</f>
        <v>0</v>
      </c>
      <c r="H220" s="588"/>
    </row>
    <row r="221" spans="1:8" ht="15">
      <c r="A221" s="95" t="s">
        <v>48</v>
      </c>
      <c r="B221" s="88" t="s">
        <v>284</v>
      </c>
      <c r="C221" s="89" t="s">
        <v>110</v>
      </c>
      <c r="D221" s="91" t="s">
        <v>159</v>
      </c>
      <c r="E221" s="349">
        <f>_xlfn.IFERROR((E141*E138+E157*E154+E173*E170+E189*E186+E205*E202)/(E202+E186+E170+E154+E138),0)</f>
        <v>0</v>
      </c>
      <c r="F221" s="349">
        <f>_xlfn.IFERROR((F141*F138+F157*F154+F173*F170+F189*F186+F205*F202)/(F202+F186+F170+F154+F138),0)</f>
        <v>0</v>
      </c>
      <c r="G221" s="349">
        <f>_xlfn.IFERROR((G141*G138+G157*G154+G173*G170+G189*G186+G205*G202)/(G202+G186+G170+G154+G138),0)</f>
        <v>0</v>
      </c>
      <c r="H221" s="588"/>
    </row>
    <row r="222" spans="1:8" ht="30" customHeight="1">
      <c r="A222" s="95" t="s">
        <v>49</v>
      </c>
      <c r="B222" s="88" t="s">
        <v>1204</v>
      </c>
      <c r="C222" s="89" t="s">
        <v>110</v>
      </c>
      <c r="D222" s="91" t="s">
        <v>159</v>
      </c>
      <c r="E222" s="349">
        <f>_xlfn.IFERROR((E143*E146+E159*E162+E175*E178+E191*E194+E207*E210)/(E210+E194+E178+E162+E146),0)</f>
        <v>0</v>
      </c>
      <c r="F222" s="349">
        <f>_xlfn.IFERROR((F143*F146+F159*F162+F175*F178+F191*F194+F207*F210)/(F210+F194+F178+F162+F146),0)</f>
        <v>0</v>
      </c>
      <c r="G222" s="349">
        <f>_xlfn.IFERROR((G143*G146+G159*G162+G175*G178+G191*G194+G207*G210)/(G210+G194+G178+G162+G146),0)</f>
        <v>0</v>
      </c>
      <c r="H222" s="588"/>
    </row>
    <row r="223" spans="1:8" ht="30">
      <c r="A223" s="95" t="s">
        <v>50</v>
      </c>
      <c r="B223" s="88" t="s">
        <v>1087</v>
      </c>
      <c r="C223" s="89" t="s">
        <v>110</v>
      </c>
      <c r="D223" s="91" t="s">
        <v>159</v>
      </c>
      <c r="E223" s="349">
        <f>_xlfn.IFERROR((E144*E146+E160*E162+E176*E178+E192*E194+E208*E210)/(E210+E194+E178+E162+E146),0)</f>
        <v>0</v>
      </c>
      <c r="F223" s="349">
        <f>_xlfn.IFERROR((F144*F146+F160*F162+F176*F178+F192*F194+F208*F210)/(F210+F194+F178+F162+F146),0)</f>
        <v>0</v>
      </c>
      <c r="G223" s="349">
        <f>_xlfn.IFERROR((G144*G146+G160*G162+G176*G178+G192*G194+G208*G210)/(G210+G194+G178+G162+G146),0)</f>
        <v>0</v>
      </c>
      <c r="H223" s="588"/>
    </row>
    <row r="224" spans="1:8" ht="45.75" thickBot="1">
      <c r="A224" s="95" t="s">
        <v>100</v>
      </c>
      <c r="B224" s="88" t="s">
        <v>1088</v>
      </c>
      <c r="C224" s="89" t="s">
        <v>110</v>
      </c>
      <c r="D224" s="91" t="s">
        <v>159</v>
      </c>
      <c r="E224" s="349">
        <f>_xlfn.IFERROR((E145*E146+E161*E162+E177*E178+E193*E194+E209*E210)/(E210+E194+E178+E162+E146),0)</f>
        <v>0</v>
      </c>
      <c r="F224" s="349">
        <f>_xlfn.IFERROR((F145*F146+F161*F162+F177*F178+F193*F194+F209*F210)/(F210+F194+F178+F162+F146),0)</f>
        <v>0</v>
      </c>
      <c r="G224" s="349">
        <f>_xlfn.IFERROR((G145*G146+G161*G162+G177*G178+G193*G194+G209*G210)/(G210+G194+G178+G162+G146),0)</f>
        <v>0</v>
      </c>
      <c r="H224" s="588"/>
    </row>
    <row r="225" spans="1:8" ht="32.25" customHeight="1" thickBot="1">
      <c r="A225" s="39" t="s">
        <v>102</v>
      </c>
      <c r="B225" s="40" t="s">
        <v>1240</v>
      </c>
      <c r="C225" s="53" t="s">
        <v>1384</v>
      </c>
      <c r="D225" s="39" t="s">
        <v>59</v>
      </c>
      <c r="E225" s="41">
        <f>_xlfn.IFERROR(E218*100/E221,0)</f>
        <v>0</v>
      </c>
      <c r="F225" s="41">
        <f>_xlfn.IFERROR(F218*100/F221,0)</f>
        <v>0</v>
      </c>
      <c r="G225" s="41">
        <f>_xlfn.IFERROR(G218*100/G221,0)</f>
        <v>0</v>
      </c>
      <c r="H225" s="338"/>
    </row>
    <row r="226" spans="1:8" ht="30.75" thickBot="1">
      <c r="A226" s="39" t="s">
        <v>880</v>
      </c>
      <c r="B226" s="40" t="s">
        <v>734</v>
      </c>
      <c r="C226" s="53" t="s">
        <v>1385</v>
      </c>
      <c r="D226" s="39"/>
      <c r="E226" s="41">
        <f>_xlfn.IFERROR((E211*E202+E195*E186+E179*E170+E163*E154+E147*E138)/(E138+E154+E170+E186+E202),0)</f>
        <v>0</v>
      </c>
      <c r="F226" s="41">
        <f>(8760-F222)/8760</f>
        <v>1</v>
      </c>
      <c r="G226" s="41">
        <f>_xlfn.IFERROR((G211*G202+G195*G186+G179*G170+G163*G154+G147*G138)/(G138+G154+G170+G186+G202),0)</f>
        <v>0</v>
      </c>
      <c r="H226" s="338"/>
    </row>
    <row r="227" spans="1:8" ht="51" customHeight="1" thickBot="1">
      <c r="A227" s="39" t="s">
        <v>1143</v>
      </c>
      <c r="B227" s="40" t="s">
        <v>234</v>
      </c>
      <c r="C227" s="53" t="s">
        <v>1386</v>
      </c>
      <c r="D227" s="39" t="s">
        <v>3</v>
      </c>
      <c r="E227" s="41">
        <f>_xlfn.IFERROR((E212*E202+E196*E186+E180*E170+E164*E154+E148*E138)/(E138+E154+E170+E186+E202),0)</f>
        <v>0</v>
      </c>
      <c r="F227" s="41">
        <f>_xlfn.IFERROR((F212*F202+F196*F186+F180*F170+F164*F154+F148*F138)/(F138+F154+F170+F186+F202),0)</f>
        <v>0</v>
      </c>
      <c r="G227" s="41">
        <f>_xlfn.IFERROR((G212*G202+G196*G186+G180*G170+G164*G154+G148*G138)/(G138+G154+G170+G186+G202),0)</f>
        <v>0</v>
      </c>
      <c r="H227" s="338"/>
    </row>
    <row r="228" spans="1:8" ht="33" customHeight="1" thickBot="1">
      <c r="A228" s="57" t="s">
        <v>1157</v>
      </c>
      <c r="B228" s="293" t="s">
        <v>738</v>
      </c>
      <c r="C228" s="289" t="s">
        <v>1387</v>
      </c>
      <c r="D228" s="57" t="s">
        <v>3</v>
      </c>
      <c r="E228" s="330">
        <f>_xlfn.IFERROR(E224*100/(E223+E224),0)</f>
        <v>0</v>
      </c>
      <c r="F228" s="330">
        <f>_xlfn.IFERROR(F224*100/(F223+F224),0)</f>
        <v>0</v>
      </c>
      <c r="G228" s="330">
        <f>_xlfn.IFERROR(G224*100/(G223+G224),0)</f>
        <v>0</v>
      </c>
      <c r="H228" s="335"/>
    </row>
    <row r="229" spans="1:8" ht="15">
      <c r="A229" s="112"/>
      <c r="B229" s="436"/>
      <c r="C229" s="437"/>
      <c r="D229" s="438"/>
      <c r="E229" s="286"/>
      <c r="F229" s="329"/>
      <c r="G229" s="287"/>
      <c r="H229" s="596"/>
    </row>
    <row r="230" spans="1:8" ht="15">
      <c r="A230" s="452" t="s">
        <v>311</v>
      </c>
      <c r="B230" s="453" t="s">
        <v>9</v>
      </c>
      <c r="C230" s="481"/>
      <c r="D230" s="448"/>
      <c r="E230" s="254"/>
      <c r="F230" s="318"/>
      <c r="G230" s="385"/>
      <c r="H230" s="594"/>
    </row>
    <row r="231" spans="1:8" ht="15">
      <c r="A231" s="95" t="s">
        <v>43</v>
      </c>
      <c r="B231" s="444" t="s">
        <v>653</v>
      </c>
      <c r="C231" s="455"/>
      <c r="D231" s="99" t="s">
        <v>59</v>
      </c>
      <c r="E231" s="778">
        <v>0</v>
      </c>
      <c r="F231" s="349">
        <f>AVERAGEA(E231:E231)</f>
        <v>0</v>
      </c>
      <c r="G231" s="295">
        <v>0</v>
      </c>
      <c r="H231" s="588"/>
    </row>
    <row r="232" spans="1:8" ht="15">
      <c r="A232" s="95" t="s">
        <v>44</v>
      </c>
      <c r="B232" s="444" t="s">
        <v>179</v>
      </c>
      <c r="C232" s="89" t="s">
        <v>110</v>
      </c>
      <c r="D232" s="99" t="s">
        <v>99</v>
      </c>
      <c r="E232" s="778">
        <v>0</v>
      </c>
      <c r="F232" s="349">
        <f>AVERAGEA(E232:E232)</f>
        <v>0</v>
      </c>
      <c r="G232" s="778">
        <v>0</v>
      </c>
      <c r="H232" s="588"/>
    </row>
    <row r="233" spans="1:8" ht="15">
      <c r="A233" s="95" t="s">
        <v>45</v>
      </c>
      <c r="B233" s="88" t="s">
        <v>259</v>
      </c>
      <c r="C233" s="89" t="s">
        <v>110</v>
      </c>
      <c r="D233" s="91" t="s">
        <v>3</v>
      </c>
      <c r="E233" s="778">
        <v>0</v>
      </c>
      <c r="F233" s="349">
        <f>_xlfn.IFERROR(_xlfn.AVERAGEIF(E233:E233,"&gt;0",E233:E233),0)</f>
        <v>0</v>
      </c>
      <c r="G233" s="778">
        <v>0</v>
      </c>
      <c r="H233" s="588"/>
    </row>
    <row r="234" spans="1:8" ht="15">
      <c r="A234" s="95" t="s">
        <v>46</v>
      </c>
      <c r="B234" s="88" t="s">
        <v>22</v>
      </c>
      <c r="C234" s="89" t="s">
        <v>110</v>
      </c>
      <c r="D234" s="456" t="s">
        <v>257</v>
      </c>
      <c r="E234" s="778">
        <v>0</v>
      </c>
      <c r="F234" s="349">
        <f>_xlfn.IFERROR(_xlfn.AVERAGEIF(E234:E234,"&gt;0",E234:E234),0)</f>
        <v>0</v>
      </c>
      <c r="G234" s="778">
        <v>0</v>
      </c>
      <c r="H234" s="588"/>
    </row>
    <row r="235" spans="1:8" ht="15">
      <c r="A235" s="95" t="s">
        <v>47</v>
      </c>
      <c r="B235" s="88" t="s">
        <v>234</v>
      </c>
      <c r="C235" s="89" t="s">
        <v>110</v>
      </c>
      <c r="D235" s="456" t="s">
        <v>3</v>
      </c>
      <c r="E235" s="778">
        <v>0</v>
      </c>
      <c r="F235" s="349">
        <f>_xlfn.IFERROR(_xlfn.AVERAGEIF(E235:E235,"&gt;0",E235:E235),0)</f>
        <v>0</v>
      </c>
      <c r="G235" s="778">
        <v>0</v>
      </c>
      <c r="H235" s="588"/>
    </row>
    <row r="236" spans="1:8" ht="15">
      <c r="A236" s="95" t="s">
        <v>48</v>
      </c>
      <c r="B236" s="88" t="s">
        <v>284</v>
      </c>
      <c r="C236" s="89" t="s">
        <v>110</v>
      </c>
      <c r="D236" s="91" t="s">
        <v>159</v>
      </c>
      <c r="E236" s="778">
        <v>0</v>
      </c>
      <c r="F236" s="349">
        <f>AVERAGEA(E236:E236)</f>
        <v>0</v>
      </c>
      <c r="G236" s="778">
        <v>0</v>
      </c>
      <c r="H236" s="588"/>
    </row>
    <row r="237" spans="1:8" ht="15">
      <c r="A237" s="95"/>
      <c r="B237" s="88"/>
      <c r="C237" s="89"/>
      <c r="D237" s="91"/>
      <c r="E237" s="91"/>
      <c r="F237" s="59"/>
      <c r="G237" s="44"/>
      <c r="H237" s="597"/>
    </row>
    <row r="238" spans="1:8" ht="15">
      <c r="A238" s="452" t="s">
        <v>312</v>
      </c>
      <c r="B238" s="453" t="s">
        <v>103</v>
      </c>
      <c r="C238" s="481"/>
      <c r="D238" s="457"/>
      <c r="E238" s="457"/>
      <c r="F238" s="318"/>
      <c r="G238" s="385"/>
      <c r="H238" s="594"/>
    </row>
    <row r="239" spans="1:8" ht="15">
      <c r="A239" s="95" t="s">
        <v>43</v>
      </c>
      <c r="B239" s="88" t="s">
        <v>654</v>
      </c>
      <c r="C239" s="89"/>
      <c r="D239" s="91" t="s">
        <v>59</v>
      </c>
      <c r="E239" s="778">
        <v>0</v>
      </c>
      <c r="F239" s="349">
        <f>AVERAGEA(E239:E239)</f>
        <v>0</v>
      </c>
      <c r="G239" s="775">
        <v>0</v>
      </c>
      <c r="H239" s="776"/>
    </row>
    <row r="240" spans="1:8" ht="15">
      <c r="A240" s="95" t="s">
        <v>44</v>
      </c>
      <c r="B240" s="88" t="s">
        <v>25</v>
      </c>
      <c r="C240" s="89" t="s">
        <v>110</v>
      </c>
      <c r="D240" s="91" t="s">
        <v>99</v>
      </c>
      <c r="E240" s="778">
        <v>0</v>
      </c>
      <c r="F240" s="349">
        <f>AVERAGEA(E240:E240)</f>
        <v>0</v>
      </c>
      <c r="G240" s="778">
        <v>0</v>
      </c>
      <c r="H240" s="776"/>
    </row>
    <row r="241" spans="1:8" ht="15">
      <c r="A241" s="95" t="s">
        <v>45</v>
      </c>
      <c r="B241" s="88" t="s">
        <v>104</v>
      </c>
      <c r="C241" s="89" t="s">
        <v>110</v>
      </c>
      <c r="D241" s="91" t="s">
        <v>159</v>
      </c>
      <c r="E241" s="778">
        <v>0</v>
      </c>
      <c r="F241" s="349">
        <f>AVERAGEA(E241:E241)</f>
        <v>0</v>
      </c>
      <c r="G241" s="778">
        <v>0</v>
      </c>
      <c r="H241" s="776"/>
    </row>
    <row r="242" spans="1:8" ht="15">
      <c r="A242" s="433"/>
      <c r="B242" s="434"/>
      <c r="C242" s="435"/>
      <c r="D242" s="449"/>
      <c r="E242" s="641"/>
      <c r="F242" s="349"/>
      <c r="G242" s="641"/>
      <c r="H242" s="589"/>
    </row>
    <row r="243" spans="1:10" ht="15">
      <c r="A243" s="839" t="s">
        <v>1487</v>
      </c>
      <c r="B243" s="840" t="s">
        <v>1663</v>
      </c>
      <c r="C243" s="841"/>
      <c r="D243" s="842"/>
      <c r="E243" s="842"/>
      <c r="F243" s="842"/>
      <c r="G243" s="842"/>
      <c r="H243" s="318"/>
      <c r="I243" s="385"/>
      <c r="J243" s="602"/>
    </row>
    <row r="244" spans="1:8" ht="15">
      <c r="A244" s="95" t="s">
        <v>43</v>
      </c>
      <c r="B244" s="833" t="s">
        <v>1662</v>
      </c>
      <c r="C244" s="89"/>
      <c r="D244" s="91" t="s">
        <v>59</v>
      </c>
      <c r="E244" s="778">
        <v>0</v>
      </c>
      <c r="F244" s="349">
        <f>AVERAGEA(E244:E244)</f>
        <v>0</v>
      </c>
      <c r="G244" s="778">
        <v>0</v>
      </c>
      <c r="H244" s="779"/>
    </row>
    <row r="245" spans="1:8" ht="15">
      <c r="A245" s="95" t="s">
        <v>44</v>
      </c>
      <c r="B245" s="88" t="s">
        <v>25</v>
      </c>
      <c r="C245" s="89" t="s">
        <v>110</v>
      </c>
      <c r="D245" s="91" t="s">
        <v>99</v>
      </c>
      <c r="E245" s="778">
        <v>0</v>
      </c>
      <c r="F245" s="349">
        <f>AVERAGEA(E245:E245)</f>
        <v>0</v>
      </c>
      <c r="G245" s="778">
        <v>0</v>
      </c>
      <c r="H245" s="779"/>
    </row>
    <row r="246" spans="1:8" ht="15">
      <c r="A246" s="95" t="s">
        <v>45</v>
      </c>
      <c r="B246" s="833" t="s">
        <v>284</v>
      </c>
      <c r="C246" s="89" t="s">
        <v>110</v>
      </c>
      <c r="D246" s="91" t="s">
        <v>159</v>
      </c>
      <c r="E246" s="778">
        <v>0</v>
      </c>
      <c r="F246" s="349">
        <f>AVERAGEA(E246:E246)</f>
        <v>0</v>
      </c>
      <c r="G246" s="778">
        <v>0</v>
      </c>
      <c r="H246" s="779"/>
    </row>
    <row r="247" spans="1:8" ht="15">
      <c r="A247" s="433"/>
      <c r="B247" s="434"/>
      <c r="C247" s="435"/>
      <c r="D247" s="449"/>
      <c r="E247" s="435"/>
      <c r="F247" s="349"/>
      <c r="G247" s="641"/>
      <c r="H247" s="589"/>
    </row>
    <row r="248" spans="1:8" ht="15">
      <c r="A248" s="839" t="s">
        <v>1664</v>
      </c>
      <c r="B248" s="453" t="s">
        <v>1488</v>
      </c>
      <c r="C248" s="481"/>
      <c r="D248" s="457"/>
      <c r="E248" s="457"/>
      <c r="F248" s="318"/>
      <c r="G248" s="385"/>
      <c r="H248" s="594"/>
    </row>
    <row r="249" spans="1:8" ht="15">
      <c r="A249" s="95" t="s">
        <v>43</v>
      </c>
      <c r="B249" s="88" t="s">
        <v>1489</v>
      </c>
      <c r="C249" s="89" t="s">
        <v>110</v>
      </c>
      <c r="D249" s="91" t="s">
        <v>59</v>
      </c>
      <c r="E249" s="778">
        <v>0</v>
      </c>
      <c r="F249" s="349">
        <f>AVERAGEA(E249:E249)</f>
        <v>0</v>
      </c>
      <c r="G249" s="778">
        <v>0</v>
      </c>
      <c r="H249" s="588"/>
    </row>
    <row r="250" spans="1:8" ht="15">
      <c r="A250" s="95" t="s">
        <v>44</v>
      </c>
      <c r="B250" s="88" t="s">
        <v>1490</v>
      </c>
      <c r="C250" s="89" t="s">
        <v>110</v>
      </c>
      <c r="D250" s="91" t="s">
        <v>99</v>
      </c>
      <c r="E250" s="778">
        <v>0</v>
      </c>
      <c r="F250" s="349">
        <f>AVERAGEA(E250:E250)</f>
        <v>0</v>
      </c>
      <c r="G250" s="778">
        <v>0</v>
      </c>
      <c r="H250" s="588"/>
    </row>
    <row r="251" spans="1:8" ht="30.75" thickBot="1">
      <c r="A251" s="95" t="s">
        <v>45</v>
      </c>
      <c r="B251" s="88" t="s">
        <v>1498</v>
      </c>
      <c r="C251" s="89" t="s">
        <v>110</v>
      </c>
      <c r="D251" s="91" t="s">
        <v>238</v>
      </c>
      <c r="E251" s="778">
        <v>0</v>
      </c>
      <c r="F251" s="508">
        <f>AVERAGEA(E251:E251)</f>
        <v>0</v>
      </c>
      <c r="G251" s="778">
        <v>0</v>
      </c>
      <c r="H251" s="588"/>
    </row>
    <row r="252" spans="1:8" ht="15.75" thickBot="1">
      <c r="A252" s="314" t="s">
        <v>46</v>
      </c>
      <c r="B252" s="710" t="s">
        <v>1491</v>
      </c>
      <c r="C252" s="843" t="s">
        <v>1665</v>
      </c>
      <c r="D252" s="314" t="s">
        <v>231</v>
      </c>
      <c r="E252" s="314">
        <f>E250*E251/10</f>
        <v>0</v>
      </c>
      <c r="F252" s="314">
        <f>F250*F251/10</f>
        <v>0</v>
      </c>
      <c r="G252" s="314">
        <f>G250*G251/10</f>
        <v>0</v>
      </c>
      <c r="H252" s="314"/>
    </row>
    <row r="253" spans="1:8" ht="15.75" thickBot="1">
      <c r="A253" s="198"/>
      <c r="B253" s="705"/>
      <c r="C253" s="706"/>
      <c r="D253" s="199"/>
      <c r="E253" s="706"/>
      <c r="F253" s="709"/>
      <c r="G253" s="707"/>
      <c r="H253" s="708"/>
    </row>
    <row r="254" spans="1:8" ht="30.75" thickBot="1">
      <c r="A254" s="289" t="s">
        <v>52</v>
      </c>
      <c r="B254" s="294" t="s">
        <v>313</v>
      </c>
      <c r="C254" s="844" t="s">
        <v>1666</v>
      </c>
      <c r="D254" s="289" t="s">
        <v>99</v>
      </c>
      <c r="E254" s="325">
        <f>E130+E218+E232+E240+E245+E250</f>
        <v>0</v>
      </c>
      <c r="F254" s="325" t="e">
        <f>F130+F218+F232+F240+F245+F250</f>
        <v>#DIV/0!</v>
      </c>
      <c r="G254" s="325">
        <f>G130+G218+G232+G240+G245+G250</f>
        <v>0</v>
      </c>
      <c r="H254" s="314"/>
    </row>
    <row r="255" spans="1:8" ht="15">
      <c r="A255" s="483" t="s">
        <v>109</v>
      </c>
      <c r="B255" s="459" t="s">
        <v>695</v>
      </c>
      <c r="C255" s="460"/>
      <c r="D255" s="458" t="s">
        <v>99</v>
      </c>
      <c r="E255" s="778"/>
      <c r="F255" s="349" t="e">
        <f>AVERAGEA(E255:E255)</f>
        <v>#DIV/0!</v>
      </c>
      <c r="G255" s="771"/>
      <c r="H255" s="880"/>
    </row>
    <row r="256" spans="1:8" ht="15.75" thickBot="1">
      <c r="A256" s="518" t="s">
        <v>112</v>
      </c>
      <c r="B256" s="462" t="s">
        <v>285</v>
      </c>
      <c r="C256" s="463"/>
      <c r="D256" s="461" t="s">
        <v>99</v>
      </c>
      <c r="E256" s="878"/>
      <c r="F256" s="349" t="e">
        <f>AVERAGEA(E256:E256)</f>
        <v>#DIV/0!</v>
      </c>
      <c r="G256" s="535"/>
      <c r="H256" s="880"/>
    </row>
    <row r="257" spans="1:8" ht="30.75" thickBot="1">
      <c r="A257" s="289" t="s">
        <v>118</v>
      </c>
      <c r="B257" s="294" t="s">
        <v>720</v>
      </c>
      <c r="C257" s="289" t="s">
        <v>1389</v>
      </c>
      <c r="D257" s="289" t="s">
        <v>99</v>
      </c>
      <c r="E257" s="289">
        <f>E255+IF(E256&gt;(E107+E108+E109),E256-(E107+E108+E109),0)</f>
        <v>0</v>
      </c>
      <c r="F257" s="733" t="e">
        <f>F255+IF(F256&gt;(F107+F108+F109),F256-(F107+F108+F109),0)</f>
        <v>#DIV/0!</v>
      </c>
      <c r="G257" s="289">
        <f>G255+IF(G256&gt;(G107+G108+G109),G256-(G107+G108+G109),0)</f>
        <v>0</v>
      </c>
      <c r="H257" s="314"/>
    </row>
    <row r="258" spans="1:8" ht="33.75" customHeight="1" thickBot="1">
      <c r="A258" s="289" t="s">
        <v>255</v>
      </c>
      <c r="B258" s="294" t="s">
        <v>180</v>
      </c>
      <c r="C258" s="289" t="s">
        <v>693</v>
      </c>
      <c r="D258" s="289" t="s">
        <v>231</v>
      </c>
      <c r="E258" s="289">
        <f>E257*2717/10</f>
        <v>0</v>
      </c>
      <c r="F258" s="325" t="e">
        <f>F257*2717/10</f>
        <v>#DIV/0!</v>
      </c>
      <c r="G258" s="289">
        <f>G257*2717/10</f>
        <v>0</v>
      </c>
      <c r="H258" s="314"/>
    </row>
    <row r="259" spans="1:8" ht="63.75" customHeight="1" thickBot="1">
      <c r="A259" s="289" t="s">
        <v>694</v>
      </c>
      <c r="B259" s="294" t="s">
        <v>168</v>
      </c>
      <c r="C259" s="289" t="s">
        <v>1390</v>
      </c>
      <c r="D259" s="289" t="s">
        <v>99</v>
      </c>
      <c r="E259" s="289">
        <f>IF(E256&gt;(E107+E108+E109),((E254-E255)-(E256-(E107+E108+E109))),(E123+E254-E255))</f>
        <v>0</v>
      </c>
      <c r="F259" s="325" t="e">
        <f>IF(F256&gt;(F107+F108+F109),((F254-F255)-(F256-(F107+F108+F109))),(F123+F254-F255))</f>
        <v>#DIV/0!</v>
      </c>
      <c r="G259" s="289">
        <f>IF(G256&gt;(G107+G108+G109),((G254-G255)-(G256-(G107+G108+G109))),(G123+G254-G255))</f>
        <v>0</v>
      </c>
      <c r="H259" s="314"/>
    </row>
    <row r="260" spans="1:8" ht="15">
      <c r="A260" s="112"/>
      <c r="B260" s="436"/>
      <c r="C260" s="437"/>
      <c r="D260" s="438"/>
      <c r="E260" s="438"/>
      <c r="F260" s="331"/>
      <c r="G260" s="48"/>
      <c r="H260" s="591"/>
    </row>
    <row r="261" spans="1:8" ht="15">
      <c r="A261" s="464" t="s">
        <v>36</v>
      </c>
      <c r="B261" s="465" t="s">
        <v>10</v>
      </c>
      <c r="C261" s="466"/>
      <c r="D261" s="467"/>
      <c r="E261" s="467"/>
      <c r="F261" s="332"/>
      <c r="G261" s="255"/>
      <c r="H261" s="598"/>
    </row>
    <row r="262" spans="1:8" ht="15">
      <c r="A262" s="452" t="s">
        <v>37</v>
      </c>
      <c r="B262" s="453" t="s">
        <v>62</v>
      </c>
      <c r="C262" s="481"/>
      <c r="D262" s="448"/>
      <c r="E262" s="448"/>
      <c r="F262" s="318"/>
      <c r="G262" s="385"/>
      <c r="H262" s="594"/>
    </row>
    <row r="263" spans="1:8" ht="15">
      <c r="A263" s="95" t="s">
        <v>43</v>
      </c>
      <c r="B263" s="88" t="s">
        <v>878</v>
      </c>
      <c r="C263" s="468" t="s">
        <v>877</v>
      </c>
      <c r="D263" s="91" t="s">
        <v>876</v>
      </c>
      <c r="E263" s="878"/>
      <c r="F263" s="349">
        <f>_xlfn.IFERROR(_xlfn.AVERAGEIF(E263:E263,"&gt;0",E263:E263),0)</f>
        <v>0</v>
      </c>
      <c r="G263" s="880"/>
      <c r="H263" s="880"/>
    </row>
    <row r="264" spans="1:8" ht="15">
      <c r="A264" s="95" t="s">
        <v>44</v>
      </c>
      <c r="B264" s="88" t="s">
        <v>260</v>
      </c>
      <c r="C264" s="89" t="s">
        <v>1075</v>
      </c>
      <c r="D264" s="91" t="s">
        <v>324</v>
      </c>
      <c r="E264" s="898"/>
      <c r="F264" s="349">
        <f>_xlfn.IFERROR(_xlfn.AVERAGEIF(E264:E264,"&gt;0",E264:E264),0)</f>
        <v>0</v>
      </c>
      <c r="G264" s="880"/>
      <c r="H264" s="880"/>
    </row>
    <row r="265" spans="1:8" ht="15">
      <c r="A265" s="95" t="s">
        <v>45</v>
      </c>
      <c r="B265" s="88" t="s">
        <v>253</v>
      </c>
      <c r="C265" s="89" t="s">
        <v>1075</v>
      </c>
      <c r="D265" s="91" t="s">
        <v>324</v>
      </c>
      <c r="E265" s="897"/>
      <c r="F265" s="349">
        <f>_xlfn.IFERROR(_xlfn.AVERAGEIF(E265:E265,"&gt;0",E265:E265),0)</f>
        <v>0</v>
      </c>
      <c r="G265" s="877"/>
      <c r="H265" s="880"/>
    </row>
    <row r="266" spans="1:8" ht="15">
      <c r="A266" s="95" t="s">
        <v>46</v>
      </c>
      <c r="B266" s="88" t="s">
        <v>26</v>
      </c>
      <c r="C266" s="89" t="s">
        <v>110</v>
      </c>
      <c r="D266" s="91" t="s">
        <v>76</v>
      </c>
      <c r="E266" s="878"/>
      <c r="F266" s="349" t="e">
        <f>AVERAGEA(E266:E266)</f>
        <v>#DIV/0!</v>
      </c>
      <c r="G266" s="880"/>
      <c r="H266" s="880"/>
    </row>
    <row r="267" spans="1:8" ht="15">
      <c r="A267" s="95" t="s">
        <v>47</v>
      </c>
      <c r="B267" s="88" t="s">
        <v>1115</v>
      </c>
      <c r="C267" s="89" t="s">
        <v>1138</v>
      </c>
      <c r="D267" s="91" t="s">
        <v>3</v>
      </c>
      <c r="E267" s="898"/>
      <c r="F267" s="349">
        <f>_xlfn.IFERROR(_xlfn.AVERAGEIF(E267:E267,"&gt;0",E267:E267),0)</f>
        <v>0</v>
      </c>
      <c r="G267" s="880"/>
      <c r="H267" s="880"/>
    </row>
    <row r="268" spans="1:8" ht="15">
      <c r="A268" s="95" t="s">
        <v>48</v>
      </c>
      <c r="B268" s="88" t="s">
        <v>27</v>
      </c>
      <c r="C268" s="89" t="s">
        <v>110</v>
      </c>
      <c r="D268" s="91" t="s">
        <v>76</v>
      </c>
      <c r="E268" s="878"/>
      <c r="F268" s="349" t="e">
        <f>AVERAGEA(E268:E268)</f>
        <v>#DIV/0!</v>
      </c>
      <c r="G268" s="880"/>
      <c r="H268" s="880"/>
    </row>
    <row r="269" spans="1:8" ht="15.75" thickBot="1">
      <c r="A269" s="198" t="s">
        <v>49</v>
      </c>
      <c r="B269" s="434" t="s">
        <v>1074</v>
      </c>
      <c r="C269" s="89" t="s">
        <v>181</v>
      </c>
      <c r="D269" s="449" t="s">
        <v>76</v>
      </c>
      <c r="E269" s="878"/>
      <c r="F269" s="349" t="e">
        <f>AVERAGEA(E269:E269)</f>
        <v>#DIV/0!</v>
      </c>
      <c r="G269" s="877"/>
      <c r="H269" s="880"/>
    </row>
    <row r="270" spans="1:8" ht="15.75" thickBot="1">
      <c r="A270" s="39" t="s">
        <v>50</v>
      </c>
      <c r="B270" s="40" t="s">
        <v>69</v>
      </c>
      <c r="C270" s="53" t="s">
        <v>1391</v>
      </c>
      <c r="D270" s="39" t="s">
        <v>76</v>
      </c>
      <c r="E270" s="39">
        <f>E268+E269</f>
        <v>0</v>
      </c>
      <c r="F270" s="41" t="e">
        <f>F268+F269</f>
        <v>#DIV/0!</v>
      </c>
      <c r="G270" s="39">
        <f>G268+G269</f>
        <v>0</v>
      </c>
      <c r="H270" s="42"/>
    </row>
    <row r="271" spans="1:8" ht="15.75" thickBot="1">
      <c r="A271" s="39" t="s">
        <v>100</v>
      </c>
      <c r="B271" s="40" t="s">
        <v>287</v>
      </c>
      <c r="C271" s="53" t="s">
        <v>1095</v>
      </c>
      <c r="D271" s="39" t="s">
        <v>231</v>
      </c>
      <c r="E271" s="39">
        <f aca="true" t="shared" si="9" ref="E271:G272">E264*E268/1000</f>
        <v>0</v>
      </c>
      <c r="F271" s="41" t="e">
        <f t="shared" si="9"/>
        <v>#DIV/0!</v>
      </c>
      <c r="G271" s="39">
        <f t="shared" si="9"/>
        <v>0</v>
      </c>
      <c r="H271" s="42"/>
    </row>
    <row r="272" spans="1:8" ht="15">
      <c r="A272" s="39" t="s">
        <v>101</v>
      </c>
      <c r="B272" s="40" t="s">
        <v>288</v>
      </c>
      <c r="C272" s="53" t="s">
        <v>1392</v>
      </c>
      <c r="D272" s="39" t="s">
        <v>231</v>
      </c>
      <c r="E272" s="39">
        <f t="shared" si="9"/>
        <v>0</v>
      </c>
      <c r="F272" s="41" t="e">
        <f t="shared" si="9"/>
        <v>#DIV/0!</v>
      </c>
      <c r="G272" s="39">
        <f t="shared" si="9"/>
        <v>0</v>
      </c>
      <c r="H272" s="42"/>
    </row>
    <row r="273" spans="1:8" ht="15">
      <c r="A273" s="112"/>
      <c r="B273" s="436"/>
      <c r="C273" s="437"/>
      <c r="D273" s="438"/>
      <c r="E273" s="438"/>
      <c r="F273" s="333"/>
      <c r="G273" s="296"/>
      <c r="H273" s="599"/>
    </row>
    <row r="274" spans="1:8" ht="15">
      <c r="A274" s="452" t="s">
        <v>53</v>
      </c>
      <c r="B274" s="453" t="s">
        <v>105</v>
      </c>
      <c r="C274" s="481"/>
      <c r="D274" s="448"/>
      <c r="E274" s="448"/>
      <c r="F274" s="318"/>
      <c r="G274" s="385"/>
      <c r="H274" s="594"/>
    </row>
    <row r="275" spans="1:8" ht="15">
      <c r="A275" s="95" t="s">
        <v>43</v>
      </c>
      <c r="B275" s="88" t="s">
        <v>878</v>
      </c>
      <c r="C275" s="468" t="s">
        <v>877</v>
      </c>
      <c r="D275" s="91" t="s">
        <v>876</v>
      </c>
      <c r="E275" s="878"/>
      <c r="F275" s="349">
        <f>_xlfn.IFERROR(_xlfn.AVERAGEIF(E275:E275,"&gt;0",E275:E275),0)</f>
        <v>0</v>
      </c>
      <c r="G275" s="880"/>
      <c r="H275" s="880"/>
    </row>
    <row r="276" spans="1:8" ht="15">
      <c r="A276" s="95" t="s">
        <v>44</v>
      </c>
      <c r="B276" s="88" t="s">
        <v>260</v>
      </c>
      <c r="C276" s="89" t="s">
        <v>1075</v>
      </c>
      <c r="D276" s="91" t="s">
        <v>324</v>
      </c>
      <c r="E276" s="878"/>
      <c r="F276" s="349">
        <f>_xlfn.IFERROR(_xlfn.AVERAGEIF(E276:E276,"&gt;0",E276:E276),0)</f>
        <v>0</v>
      </c>
      <c r="G276" s="880"/>
      <c r="H276" s="880"/>
    </row>
    <row r="277" spans="1:8" ht="15">
      <c r="A277" s="95" t="s">
        <v>45</v>
      </c>
      <c r="B277" s="88" t="s">
        <v>253</v>
      </c>
      <c r="C277" s="89" t="s">
        <v>1075</v>
      </c>
      <c r="D277" s="91" t="s">
        <v>324</v>
      </c>
      <c r="E277" s="898"/>
      <c r="F277" s="349">
        <f>_xlfn.IFERROR(_xlfn.AVERAGEIF(E277:E277,"&gt;0",E277:E277),0)</f>
        <v>0</v>
      </c>
      <c r="G277" s="889"/>
      <c r="H277" s="880"/>
    </row>
    <row r="278" spans="1:8" ht="15">
      <c r="A278" s="95" t="s">
        <v>46</v>
      </c>
      <c r="B278" s="88" t="s">
        <v>26</v>
      </c>
      <c r="C278" s="89" t="s">
        <v>110</v>
      </c>
      <c r="D278" s="91" t="s">
        <v>76</v>
      </c>
      <c r="E278" s="878"/>
      <c r="F278" s="349" t="e">
        <f>AVERAGEA(E278:E278)</f>
        <v>#DIV/0!</v>
      </c>
      <c r="G278" s="880"/>
      <c r="H278" s="880"/>
    </row>
    <row r="279" spans="1:8" ht="15">
      <c r="A279" s="95" t="s">
        <v>47</v>
      </c>
      <c r="B279" s="88" t="s">
        <v>1115</v>
      </c>
      <c r="C279" s="89" t="s">
        <v>1138</v>
      </c>
      <c r="D279" s="91" t="s">
        <v>3</v>
      </c>
      <c r="E279" s="898"/>
      <c r="F279" s="349">
        <f>_xlfn.IFERROR(_xlfn.AVERAGEIF(E279:E279,"&gt;0",E279:E279),0)</f>
        <v>0</v>
      </c>
      <c r="G279" s="880"/>
      <c r="H279" s="880"/>
    </row>
    <row r="280" spans="1:8" ht="15">
      <c r="A280" s="95" t="s">
        <v>48</v>
      </c>
      <c r="B280" s="88" t="s">
        <v>27</v>
      </c>
      <c r="C280" s="89" t="s">
        <v>110</v>
      </c>
      <c r="D280" s="91" t="s">
        <v>76</v>
      </c>
      <c r="E280" s="878"/>
      <c r="F280" s="349" t="e">
        <f>AVERAGEA(E280:E280)</f>
        <v>#DIV/0!</v>
      </c>
      <c r="G280" s="880"/>
      <c r="H280" s="880"/>
    </row>
    <row r="281" spans="1:8" ht="15.75" thickBot="1">
      <c r="A281" s="198" t="s">
        <v>49</v>
      </c>
      <c r="B281" s="434" t="s">
        <v>1074</v>
      </c>
      <c r="C281" s="89" t="s">
        <v>181</v>
      </c>
      <c r="D281" s="449" t="s">
        <v>76</v>
      </c>
      <c r="E281" s="878"/>
      <c r="F281" s="349" t="e">
        <f>AVERAGEA(E281:E281)</f>
        <v>#DIV/0!</v>
      </c>
      <c r="G281" s="889"/>
      <c r="H281" s="880"/>
    </row>
    <row r="282" spans="1:8" ht="15.75" thickBot="1">
      <c r="A282" s="39" t="s">
        <v>50</v>
      </c>
      <c r="B282" s="40" t="s">
        <v>69</v>
      </c>
      <c r="C282" s="53" t="s">
        <v>1391</v>
      </c>
      <c r="D282" s="39" t="s">
        <v>76</v>
      </c>
      <c r="E282" s="39">
        <f>E280+E281</f>
        <v>0</v>
      </c>
      <c r="F282" s="41" t="e">
        <f>F280+F281</f>
        <v>#DIV/0!</v>
      </c>
      <c r="G282" s="39">
        <f>G280+G281</f>
        <v>0</v>
      </c>
      <c r="H282" s="42"/>
    </row>
    <row r="283" spans="1:8" ht="15.75" thickBot="1">
      <c r="A283" s="39" t="s">
        <v>100</v>
      </c>
      <c r="B283" s="40" t="s">
        <v>287</v>
      </c>
      <c r="C283" s="53" t="s">
        <v>1095</v>
      </c>
      <c r="D283" s="39" t="s">
        <v>231</v>
      </c>
      <c r="E283" s="39">
        <f aca="true" t="shared" si="10" ref="E283:G284">E276*E280/1000</f>
        <v>0</v>
      </c>
      <c r="F283" s="41" t="e">
        <f t="shared" si="10"/>
        <v>#DIV/0!</v>
      </c>
      <c r="G283" s="39">
        <f t="shared" si="10"/>
        <v>0</v>
      </c>
      <c r="H283" s="42"/>
    </row>
    <row r="284" spans="1:8" ht="15">
      <c r="A284" s="39" t="s">
        <v>101</v>
      </c>
      <c r="B284" s="40" t="s">
        <v>288</v>
      </c>
      <c r="C284" s="53" t="s">
        <v>1392</v>
      </c>
      <c r="D284" s="39" t="s">
        <v>231</v>
      </c>
      <c r="E284" s="39">
        <f t="shared" si="10"/>
        <v>0</v>
      </c>
      <c r="F284" s="41" t="e">
        <f t="shared" si="10"/>
        <v>#DIV/0!</v>
      </c>
      <c r="G284" s="39">
        <f t="shared" si="10"/>
        <v>0</v>
      </c>
      <c r="H284" s="42"/>
    </row>
    <row r="285" spans="1:8" ht="15">
      <c r="A285" s="112"/>
      <c r="B285" s="436"/>
      <c r="C285" s="437"/>
      <c r="D285" s="438"/>
      <c r="E285" s="438"/>
      <c r="F285" s="329"/>
      <c r="G285" s="287"/>
      <c r="H285" s="596"/>
    </row>
    <row r="286" spans="1:8" ht="15">
      <c r="A286" s="452" t="s">
        <v>54</v>
      </c>
      <c r="B286" s="453" t="s">
        <v>169</v>
      </c>
      <c r="C286" s="481"/>
      <c r="D286" s="448"/>
      <c r="E286" s="448"/>
      <c r="F286" s="318"/>
      <c r="G286" s="385"/>
      <c r="H286" s="594"/>
    </row>
    <row r="287" spans="1:8" ht="15">
      <c r="A287" s="95" t="s">
        <v>43</v>
      </c>
      <c r="B287" s="88" t="s">
        <v>878</v>
      </c>
      <c r="C287" s="468" t="s">
        <v>877</v>
      </c>
      <c r="D287" s="91" t="s">
        <v>876</v>
      </c>
      <c r="E287" s="878"/>
      <c r="F287" s="349">
        <f>_xlfn.IFERROR(_xlfn.AVERAGEIF(E287:E287,"&gt;0",E287:E287),0)</f>
        <v>0</v>
      </c>
      <c r="G287" s="880"/>
      <c r="H287" s="880"/>
    </row>
    <row r="288" spans="1:8" ht="15">
      <c r="A288" s="95" t="s">
        <v>44</v>
      </c>
      <c r="B288" s="88" t="s">
        <v>260</v>
      </c>
      <c r="C288" s="89" t="s">
        <v>1075</v>
      </c>
      <c r="D288" s="91" t="s">
        <v>324</v>
      </c>
      <c r="E288" s="897"/>
      <c r="F288" s="349">
        <f>_xlfn.IFERROR(_xlfn.AVERAGEIF(E288:E288,"&gt;0",E288:E288),0)</f>
        <v>0</v>
      </c>
      <c r="G288" s="880"/>
      <c r="H288" s="880"/>
    </row>
    <row r="289" spans="1:8" ht="15">
      <c r="A289" s="95" t="s">
        <v>45</v>
      </c>
      <c r="B289" s="88" t="s">
        <v>253</v>
      </c>
      <c r="C289" s="89" t="s">
        <v>1075</v>
      </c>
      <c r="D289" s="91" t="s">
        <v>324</v>
      </c>
      <c r="E289" s="897"/>
      <c r="F289" s="349">
        <f>_xlfn.IFERROR(_xlfn.AVERAGEIF(E289:E289,"&gt;0",E289:E289),0)</f>
        <v>0</v>
      </c>
      <c r="G289" s="877"/>
      <c r="H289" s="880"/>
    </row>
    <row r="290" spans="1:8" ht="15">
      <c r="A290" s="95" t="s">
        <v>46</v>
      </c>
      <c r="B290" s="88" t="s">
        <v>26</v>
      </c>
      <c r="C290" s="89" t="s">
        <v>110</v>
      </c>
      <c r="D290" s="91" t="s">
        <v>76</v>
      </c>
      <c r="E290" s="878"/>
      <c r="F290" s="349" t="e">
        <f>AVERAGEA(E290:E290)</f>
        <v>#DIV/0!</v>
      </c>
      <c r="G290" s="880"/>
      <c r="H290" s="880"/>
    </row>
    <row r="291" spans="1:8" ht="15">
      <c r="A291" s="95" t="s">
        <v>47</v>
      </c>
      <c r="B291" s="88" t="s">
        <v>1115</v>
      </c>
      <c r="C291" s="89" t="s">
        <v>1138</v>
      </c>
      <c r="D291" s="91" t="s">
        <v>3</v>
      </c>
      <c r="E291" s="878"/>
      <c r="F291" s="349">
        <f>_xlfn.IFERROR(_xlfn.AVERAGEIF(E291:E291,"&gt;0",E291:E291),0)</f>
        <v>0</v>
      </c>
      <c r="G291" s="877"/>
      <c r="H291" s="880"/>
    </row>
    <row r="292" spans="1:8" ht="15">
      <c r="A292" s="95" t="s">
        <v>48</v>
      </c>
      <c r="B292" s="88" t="s">
        <v>27</v>
      </c>
      <c r="C292" s="89" t="s">
        <v>110</v>
      </c>
      <c r="D292" s="91" t="s">
        <v>76</v>
      </c>
      <c r="E292" s="878"/>
      <c r="F292" s="349" t="e">
        <f>AVERAGEA(E292:E292)</f>
        <v>#DIV/0!</v>
      </c>
      <c r="G292" s="880"/>
      <c r="H292" s="880"/>
    </row>
    <row r="293" spans="1:8" ht="15.75" thickBot="1">
      <c r="A293" s="198" t="s">
        <v>49</v>
      </c>
      <c r="B293" s="434" t="s">
        <v>286</v>
      </c>
      <c r="C293" s="89" t="s">
        <v>181</v>
      </c>
      <c r="D293" s="449" t="s">
        <v>76</v>
      </c>
      <c r="E293" s="878"/>
      <c r="F293" s="349" t="e">
        <f>AVERAGEA(E293:E293)</f>
        <v>#DIV/0!</v>
      </c>
      <c r="G293" s="877"/>
      <c r="H293" s="880"/>
    </row>
    <row r="294" spans="1:8" ht="15.75" thickBot="1">
      <c r="A294" s="39" t="s">
        <v>50</v>
      </c>
      <c r="B294" s="40" t="s">
        <v>69</v>
      </c>
      <c r="C294" s="53" t="s">
        <v>1391</v>
      </c>
      <c r="D294" s="39" t="s">
        <v>76</v>
      </c>
      <c r="E294" s="39">
        <f>E292+E293</f>
        <v>0</v>
      </c>
      <c r="F294" s="41" t="e">
        <f>F292+F293</f>
        <v>#DIV/0!</v>
      </c>
      <c r="G294" s="39">
        <f>G292+G293</f>
        <v>0</v>
      </c>
      <c r="H294" s="42"/>
    </row>
    <row r="295" spans="1:8" ht="15.75" thickBot="1">
      <c r="A295" s="39" t="s">
        <v>100</v>
      </c>
      <c r="B295" s="40" t="s">
        <v>287</v>
      </c>
      <c r="C295" s="53" t="s">
        <v>1095</v>
      </c>
      <c r="D295" s="39" t="s">
        <v>231</v>
      </c>
      <c r="E295" s="39">
        <f aca="true" t="shared" si="11" ref="E295:G296">E288*E292/1000</f>
        <v>0</v>
      </c>
      <c r="F295" s="41" t="e">
        <f t="shared" si="11"/>
        <v>#DIV/0!</v>
      </c>
      <c r="G295" s="39">
        <f t="shared" si="11"/>
        <v>0</v>
      </c>
      <c r="H295" s="42"/>
    </row>
    <row r="296" spans="1:8" ht="15">
      <c r="A296" s="39" t="s">
        <v>101</v>
      </c>
      <c r="B296" s="40" t="s">
        <v>288</v>
      </c>
      <c r="C296" s="53" t="s">
        <v>1392</v>
      </c>
      <c r="D296" s="39" t="s">
        <v>231</v>
      </c>
      <c r="E296" s="39">
        <f t="shared" si="11"/>
        <v>0</v>
      </c>
      <c r="F296" s="41" t="e">
        <f t="shared" si="11"/>
        <v>#DIV/0!</v>
      </c>
      <c r="G296" s="39">
        <f t="shared" si="11"/>
        <v>0</v>
      </c>
      <c r="H296" s="42"/>
    </row>
    <row r="297" spans="1:8" ht="15">
      <c r="A297" s="112"/>
      <c r="B297" s="436"/>
      <c r="C297" s="437"/>
      <c r="D297" s="438"/>
      <c r="E297" s="438"/>
      <c r="F297" s="329"/>
      <c r="G297" s="287"/>
      <c r="H297" s="596"/>
    </row>
    <row r="298" spans="1:8" ht="15">
      <c r="A298" s="452" t="s">
        <v>316</v>
      </c>
      <c r="B298" s="453" t="s">
        <v>235</v>
      </c>
      <c r="C298" s="481"/>
      <c r="D298" s="448"/>
      <c r="E298" s="448"/>
      <c r="F298" s="318"/>
      <c r="G298" s="385"/>
      <c r="H298" s="594"/>
    </row>
    <row r="299" spans="1:8" ht="15">
      <c r="A299" s="95" t="s">
        <v>43</v>
      </c>
      <c r="B299" s="88" t="s">
        <v>878</v>
      </c>
      <c r="C299" s="468" t="s">
        <v>877</v>
      </c>
      <c r="D299" s="91" t="s">
        <v>876</v>
      </c>
      <c r="E299" s="778">
        <v>0</v>
      </c>
      <c r="F299" s="349">
        <f>_xlfn.IFERROR(_xlfn.AVERAGEIF(E299:E299,"&gt;0",E299:E299),0)</f>
        <v>0</v>
      </c>
      <c r="G299" s="535">
        <v>0</v>
      </c>
      <c r="H299" s="588"/>
    </row>
    <row r="300" spans="1:8" ht="15">
      <c r="A300" s="95" t="s">
        <v>44</v>
      </c>
      <c r="B300" s="88" t="s">
        <v>260</v>
      </c>
      <c r="C300" s="89" t="s">
        <v>1075</v>
      </c>
      <c r="D300" s="91" t="s">
        <v>324</v>
      </c>
      <c r="E300" s="778">
        <v>0</v>
      </c>
      <c r="F300" s="349">
        <f>_xlfn.IFERROR(_xlfn.AVERAGEIF(E300:E300,"&gt;0",E300:E300),0)</f>
        <v>0</v>
      </c>
      <c r="G300" s="535">
        <v>0</v>
      </c>
      <c r="H300" s="588"/>
    </row>
    <row r="301" spans="1:8" ht="15">
      <c r="A301" s="95" t="s">
        <v>45</v>
      </c>
      <c r="B301" s="88" t="s">
        <v>253</v>
      </c>
      <c r="C301" s="89" t="s">
        <v>1075</v>
      </c>
      <c r="D301" s="91" t="s">
        <v>324</v>
      </c>
      <c r="E301" s="778">
        <v>0</v>
      </c>
      <c r="F301" s="349">
        <f>_xlfn.IFERROR(_xlfn.AVERAGEIF(E301:E301,"&gt;0",E301:E301),0)</f>
        <v>0</v>
      </c>
      <c r="G301" s="535">
        <v>0</v>
      </c>
      <c r="H301" s="588"/>
    </row>
    <row r="302" spans="1:8" ht="15">
      <c r="A302" s="95" t="s">
        <v>46</v>
      </c>
      <c r="B302" s="88" t="s">
        <v>26</v>
      </c>
      <c r="C302" s="89" t="s">
        <v>110</v>
      </c>
      <c r="D302" s="91" t="s">
        <v>76</v>
      </c>
      <c r="E302" s="778">
        <v>0</v>
      </c>
      <c r="F302" s="349">
        <f>AVERAGEA(E302:E302)</f>
        <v>0</v>
      </c>
      <c r="G302" s="877">
        <v>0</v>
      </c>
      <c r="H302" s="588"/>
    </row>
    <row r="303" spans="1:8" ht="15">
      <c r="A303" s="95" t="s">
        <v>47</v>
      </c>
      <c r="B303" s="88" t="s">
        <v>1115</v>
      </c>
      <c r="C303" s="89" t="s">
        <v>1138</v>
      </c>
      <c r="D303" s="91" t="s">
        <v>3</v>
      </c>
      <c r="E303" s="778">
        <v>0</v>
      </c>
      <c r="F303" s="349">
        <f>_xlfn.IFERROR(_xlfn.AVERAGEIF(E303:E303,"&gt;0",E303:E303),0)</f>
        <v>0</v>
      </c>
      <c r="G303" s="535">
        <v>0</v>
      </c>
      <c r="H303" s="588"/>
    </row>
    <row r="304" spans="1:8" ht="15">
      <c r="A304" s="95" t="s">
        <v>48</v>
      </c>
      <c r="B304" s="88" t="s">
        <v>27</v>
      </c>
      <c r="C304" s="89" t="s">
        <v>110</v>
      </c>
      <c r="D304" s="91" t="s">
        <v>76</v>
      </c>
      <c r="E304" s="778">
        <v>0</v>
      </c>
      <c r="F304" s="349">
        <f>AVERAGEA(E304:E304)</f>
        <v>0</v>
      </c>
      <c r="G304" s="877">
        <v>0</v>
      </c>
      <c r="H304" s="588"/>
    </row>
    <row r="305" spans="1:8" ht="15.75" thickBot="1">
      <c r="A305" s="198" t="s">
        <v>49</v>
      </c>
      <c r="B305" s="88" t="s">
        <v>286</v>
      </c>
      <c r="C305" s="89" t="s">
        <v>181</v>
      </c>
      <c r="D305" s="91" t="s">
        <v>76</v>
      </c>
      <c r="E305" s="778">
        <v>0</v>
      </c>
      <c r="F305" s="349">
        <f>AVERAGEA(E305:E305)</f>
        <v>0</v>
      </c>
      <c r="G305" s="535">
        <v>0</v>
      </c>
      <c r="H305" s="588"/>
    </row>
    <row r="306" spans="1:8" ht="15.75" thickBot="1">
      <c r="A306" s="39" t="s">
        <v>50</v>
      </c>
      <c r="B306" s="40" t="s">
        <v>69</v>
      </c>
      <c r="C306" s="53" t="s">
        <v>1391</v>
      </c>
      <c r="D306" s="39" t="s">
        <v>76</v>
      </c>
      <c r="E306" s="39">
        <f>E304+E305</f>
        <v>0</v>
      </c>
      <c r="F306" s="41">
        <f>F304+F305</f>
        <v>0</v>
      </c>
      <c r="G306" s="39">
        <f>G304+G305</f>
        <v>0</v>
      </c>
      <c r="H306" s="42"/>
    </row>
    <row r="307" spans="1:8" ht="15.75" thickBot="1">
      <c r="A307" s="39" t="s">
        <v>100</v>
      </c>
      <c r="B307" s="40" t="s">
        <v>287</v>
      </c>
      <c r="C307" s="53" t="s">
        <v>1095</v>
      </c>
      <c r="D307" s="39" t="s">
        <v>231</v>
      </c>
      <c r="E307" s="39">
        <f aca="true" t="shared" si="12" ref="E307:G308">E300*E304/1000</f>
        <v>0</v>
      </c>
      <c r="F307" s="41">
        <f t="shared" si="12"/>
        <v>0</v>
      </c>
      <c r="G307" s="39">
        <f t="shared" si="12"/>
        <v>0</v>
      </c>
      <c r="H307" s="42"/>
    </row>
    <row r="308" spans="1:8" ht="15">
      <c r="A308" s="39" t="s">
        <v>101</v>
      </c>
      <c r="B308" s="40" t="s">
        <v>288</v>
      </c>
      <c r="C308" s="53" t="s">
        <v>1392</v>
      </c>
      <c r="D308" s="39" t="s">
        <v>231</v>
      </c>
      <c r="E308" s="39">
        <f t="shared" si="12"/>
        <v>0</v>
      </c>
      <c r="F308" s="41">
        <f t="shared" si="12"/>
        <v>0</v>
      </c>
      <c r="G308" s="39">
        <f t="shared" si="12"/>
        <v>0</v>
      </c>
      <c r="H308" s="42"/>
    </row>
    <row r="309" spans="1:8" ht="15">
      <c r="A309" s="519"/>
      <c r="B309" s="56"/>
      <c r="C309" s="301"/>
      <c r="D309" s="55"/>
      <c r="E309" s="55"/>
      <c r="F309" s="334"/>
      <c r="G309" s="55"/>
      <c r="H309" s="520"/>
    </row>
    <row r="310" spans="1:8" ht="15">
      <c r="A310" s="452" t="s">
        <v>317</v>
      </c>
      <c r="B310" s="453" t="s">
        <v>721</v>
      </c>
      <c r="C310" s="481"/>
      <c r="D310" s="448"/>
      <c r="E310" s="448"/>
      <c r="F310" s="318"/>
      <c r="G310" s="385"/>
      <c r="H310" s="594"/>
    </row>
    <row r="311" spans="1:8" ht="15">
      <c r="A311" s="95" t="s">
        <v>43</v>
      </c>
      <c r="B311" s="88" t="s">
        <v>878</v>
      </c>
      <c r="C311" s="468" t="s">
        <v>877</v>
      </c>
      <c r="D311" s="91" t="s">
        <v>876</v>
      </c>
      <c r="E311" s="878"/>
      <c r="F311" s="349">
        <f>_xlfn.IFERROR(_xlfn.AVERAGEIF(E311:E311,"&gt;0",E311:E311),0)</f>
        <v>0</v>
      </c>
      <c r="G311" s="535">
        <v>0</v>
      </c>
      <c r="H311" s="588"/>
    </row>
    <row r="312" spans="1:8" ht="15">
      <c r="A312" s="95" t="s">
        <v>44</v>
      </c>
      <c r="B312" s="88" t="s">
        <v>260</v>
      </c>
      <c r="C312" s="89" t="s">
        <v>1075</v>
      </c>
      <c r="D312" s="91" t="s">
        <v>324</v>
      </c>
      <c r="E312" s="878"/>
      <c r="F312" s="349">
        <f>_xlfn.IFERROR(_xlfn.AVERAGEIF(E312:E312,"&gt;0",E312:E312),0)</f>
        <v>0</v>
      </c>
      <c r="G312" s="535">
        <v>0</v>
      </c>
      <c r="H312" s="588"/>
    </row>
    <row r="313" spans="1:8" ht="15">
      <c r="A313" s="95" t="s">
        <v>45</v>
      </c>
      <c r="B313" s="88" t="s">
        <v>253</v>
      </c>
      <c r="C313" s="89" t="s">
        <v>1075</v>
      </c>
      <c r="D313" s="91" t="s">
        <v>324</v>
      </c>
      <c r="E313" s="897"/>
      <c r="F313" s="349">
        <f>_xlfn.IFERROR(_xlfn.AVERAGEIF(E313:E313,"&gt;0",E313:E313),0)</f>
        <v>0</v>
      </c>
      <c r="G313" s="535">
        <v>0</v>
      </c>
      <c r="H313" s="588"/>
    </row>
    <row r="314" spans="1:8" ht="15">
      <c r="A314" s="95" t="s">
        <v>46</v>
      </c>
      <c r="B314" s="88" t="s">
        <v>26</v>
      </c>
      <c r="C314" s="89" t="s">
        <v>110</v>
      </c>
      <c r="D314" s="91" t="s">
        <v>76</v>
      </c>
      <c r="E314" s="878"/>
      <c r="F314" s="349" t="e">
        <f>AVERAGEA(E314:E314)</f>
        <v>#DIV/0!</v>
      </c>
      <c r="G314" s="877">
        <v>0</v>
      </c>
      <c r="H314" s="588"/>
    </row>
    <row r="315" spans="1:8" ht="15">
      <c r="A315" s="95" t="s">
        <v>47</v>
      </c>
      <c r="B315" s="88" t="s">
        <v>1115</v>
      </c>
      <c r="C315" s="89" t="s">
        <v>1138</v>
      </c>
      <c r="D315" s="91" t="s">
        <v>3</v>
      </c>
      <c r="E315" s="901"/>
      <c r="F315" s="349">
        <f>_xlfn.IFERROR(_xlfn.AVERAGEIF(E315:E315,"&gt;0",E315:E315),0)</f>
        <v>0</v>
      </c>
      <c r="G315" s="535">
        <v>0</v>
      </c>
      <c r="H315" s="588"/>
    </row>
    <row r="316" spans="1:8" ht="15">
      <c r="A316" s="95" t="s">
        <v>48</v>
      </c>
      <c r="B316" s="88" t="s">
        <v>27</v>
      </c>
      <c r="C316" s="89" t="s">
        <v>110</v>
      </c>
      <c r="D316" s="91" t="s">
        <v>76</v>
      </c>
      <c r="E316" s="878"/>
      <c r="F316" s="349" t="e">
        <f>AVERAGEA(E316:E316)</f>
        <v>#DIV/0!</v>
      </c>
      <c r="G316" s="877">
        <v>0</v>
      </c>
      <c r="H316" s="588"/>
    </row>
    <row r="317" spans="1:8" ht="15.75" thickBot="1">
      <c r="A317" s="198" t="s">
        <v>49</v>
      </c>
      <c r="B317" s="88" t="s">
        <v>286</v>
      </c>
      <c r="C317" s="89" t="s">
        <v>181</v>
      </c>
      <c r="D317" s="91" t="s">
        <v>76</v>
      </c>
      <c r="E317" s="878"/>
      <c r="F317" s="349" t="e">
        <f>AVERAGEA(E317:E317)</f>
        <v>#DIV/0!</v>
      </c>
      <c r="G317" s="535">
        <v>0</v>
      </c>
      <c r="H317" s="588"/>
    </row>
    <row r="318" spans="1:8" ht="15.75" thickBot="1">
      <c r="A318" s="39" t="s">
        <v>50</v>
      </c>
      <c r="B318" s="40" t="s">
        <v>69</v>
      </c>
      <c r="C318" s="53" t="s">
        <v>1391</v>
      </c>
      <c r="D318" s="39" t="s">
        <v>76</v>
      </c>
      <c r="E318" s="39">
        <f>E316+E317</f>
        <v>0</v>
      </c>
      <c r="F318" s="41" t="e">
        <f>F316+F317</f>
        <v>#DIV/0!</v>
      </c>
      <c r="G318" s="39">
        <f>G316+G317</f>
        <v>0</v>
      </c>
      <c r="H318" s="42"/>
    </row>
    <row r="319" spans="1:8" ht="15.75" thickBot="1">
      <c r="A319" s="39" t="s">
        <v>100</v>
      </c>
      <c r="B319" s="40" t="s">
        <v>287</v>
      </c>
      <c r="C319" s="53" t="s">
        <v>1095</v>
      </c>
      <c r="D319" s="39" t="s">
        <v>231</v>
      </c>
      <c r="E319" s="39">
        <f aca="true" t="shared" si="13" ref="E319:G320">E312*E316/1000</f>
        <v>0</v>
      </c>
      <c r="F319" s="41" t="e">
        <f t="shared" si="13"/>
        <v>#DIV/0!</v>
      </c>
      <c r="G319" s="39">
        <f t="shared" si="13"/>
        <v>0</v>
      </c>
      <c r="H319" s="42"/>
    </row>
    <row r="320" spans="1:8" ht="15">
      <c r="A320" s="39" t="s">
        <v>101</v>
      </c>
      <c r="B320" s="40" t="s">
        <v>288</v>
      </c>
      <c r="C320" s="53" t="s">
        <v>1392</v>
      </c>
      <c r="D320" s="39" t="s">
        <v>231</v>
      </c>
      <c r="E320" s="39">
        <f t="shared" si="13"/>
        <v>0</v>
      </c>
      <c r="F320" s="41" t="e">
        <f t="shared" si="13"/>
        <v>#DIV/0!</v>
      </c>
      <c r="G320" s="39">
        <f t="shared" si="13"/>
        <v>0</v>
      </c>
      <c r="H320" s="42"/>
    </row>
    <row r="321" spans="1:8" ht="15">
      <c r="A321" s="519"/>
      <c r="B321" s="56"/>
      <c r="C321" s="301"/>
      <c r="D321" s="55"/>
      <c r="E321" s="55"/>
      <c r="F321" s="334"/>
      <c r="G321" s="55"/>
      <c r="H321" s="520"/>
    </row>
    <row r="322" spans="1:8" ht="15">
      <c r="A322" s="452" t="s">
        <v>318</v>
      </c>
      <c r="B322" s="453" t="s">
        <v>722</v>
      </c>
      <c r="C322" s="481"/>
      <c r="D322" s="448"/>
      <c r="E322" s="448"/>
      <c r="F322" s="318"/>
      <c r="G322" s="385"/>
      <c r="H322" s="594"/>
    </row>
    <row r="323" spans="1:8" ht="15">
      <c r="A323" s="95" t="s">
        <v>43</v>
      </c>
      <c r="B323" s="88" t="s">
        <v>878</v>
      </c>
      <c r="C323" s="468" t="s">
        <v>877</v>
      </c>
      <c r="D323" s="91" t="s">
        <v>876</v>
      </c>
      <c r="E323" s="778">
        <v>0</v>
      </c>
      <c r="F323" s="349">
        <f>_xlfn.IFERROR(_xlfn.AVERAGEIF(E323:E323,"&gt;0",E323:E323),0)</f>
        <v>0</v>
      </c>
      <c r="G323" s="535">
        <v>0</v>
      </c>
      <c r="H323" s="588"/>
    </row>
    <row r="324" spans="1:8" ht="15">
      <c r="A324" s="95" t="s">
        <v>44</v>
      </c>
      <c r="B324" s="88" t="s">
        <v>260</v>
      </c>
      <c r="C324" s="89" t="s">
        <v>1075</v>
      </c>
      <c r="D324" s="91" t="s">
        <v>324</v>
      </c>
      <c r="E324" s="778">
        <v>0</v>
      </c>
      <c r="F324" s="349">
        <f>_xlfn.IFERROR(_xlfn.AVERAGEIF(E324:E324,"&gt;0",E324:E324),0)</f>
        <v>0</v>
      </c>
      <c r="G324" s="535">
        <v>0</v>
      </c>
      <c r="H324" s="588"/>
    </row>
    <row r="325" spans="1:8" ht="15">
      <c r="A325" s="95" t="s">
        <v>45</v>
      </c>
      <c r="B325" s="88" t="s">
        <v>253</v>
      </c>
      <c r="C325" s="89" t="s">
        <v>1075</v>
      </c>
      <c r="D325" s="91" t="s">
        <v>324</v>
      </c>
      <c r="E325" s="778">
        <v>0</v>
      </c>
      <c r="F325" s="349">
        <f>_xlfn.IFERROR(_xlfn.AVERAGEIF(E325:E325,"&gt;0",E325:E325),0)</f>
        <v>0</v>
      </c>
      <c r="G325" s="535">
        <v>0</v>
      </c>
      <c r="H325" s="588"/>
    </row>
    <row r="326" spans="1:8" ht="15">
      <c r="A326" s="95" t="s">
        <v>46</v>
      </c>
      <c r="B326" s="88" t="s">
        <v>26</v>
      </c>
      <c r="C326" s="89" t="s">
        <v>110</v>
      </c>
      <c r="D326" s="91" t="s">
        <v>76</v>
      </c>
      <c r="E326" s="778">
        <v>0</v>
      </c>
      <c r="F326" s="349">
        <f>AVERAGEA(E326:E326)</f>
        <v>0</v>
      </c>
      <c r="G326" s="877">
        <v>0</v>
      </c>
      <c r="H326" s="588"/>
    </row>
    <row r="327" spans="1:8" ht="15">
      <c r="A327" s="95" t="s">
        <v>47</v>
      </c>
      <c r="B327" s="88" t="s">
        <v>1115</v>
      </c>
      <c r="C327" s="89" t="s">
        <v>1138</v>
      </c>
      <c r="D327" s="91" t="s">
        <v>3</v>
      </c>
      <c r="E327" s="778">
        <v>0</v>
      </c>
      <c r="F327" s="349">
        <f>_xlfn.IFERROR(_xlfn.AVERAGEIF(E327:E327,"&gt;0",E327:E327),0)</f>
        <v>0</v>
      </c>
      <c r="G327" s="535">
        <v>0</v>
      </c>
      <c r="H327" s="588"/>
    </row>
    <row r="328" spans="1:8" ht="15">
      <c r="A328" s="95" t="s">
        <v>48</v>
      </c>
      <c r="B328" s="88" t="s">
        <v>27</v>
      </c>
      <c r="C328" s="89" t="s">
        <v>110</v>
      </c>
      <c r="D328" s="91" t="s">
        <v>76</v>
      </c>
      <c r="E328" s="778">
        <v>0</v>
      </c>
      <c r="F328" s="349">
        <f>AVERAGEA(E328:E328)</f>
        <v>0</v>
      </c>
      <c r="G328" s="877">
        <v>0</v>
      </c>
      <c r="H328" s="588"/>
    </row>
    <row r="329" spans="1:8" ht="15.75" thickBot="1">
      <c r="A329" s="198" t="s">
        <v>49</v>
      </c>
      <c r="B329" s="88" t="s">
        <v>286</v>
      </c>
      <c r="C329" s="89" t="s">
        <v>181</v>
      </c>
      <c r="D329" s="91" t="s">
        <v>76</v>
      </c>
      <c r="E329" s="778">
        <v>0</v>
      </c>
      <c r="F329" s="349">
        <f>AVERAGEA(E329:E329)</f>
        <v>0</v>
      </c>
      <c r="G329" s="535">
        <v>0</v>
      </c>
      <c r="H329" s="588"/>
    </row>
    <row r="330" spans="1:8" ht="15.75" thickBot="1">
      <c r="A330" s="39" t="s">
        <v>50</v>
      </c>
      <c r="B330" s="40" t="s">
        <v>69</v>
      </c>
      <c r="C330" s="53" t="s">
        <v>1391</v>
      </c>
      <c r="D330" s="39" t="s">
        <v>76</v>
      </c>
      <c r="E330" s="39">
        <f>E328+E329</f>
        <v>0</v>
      </c>
      <c r="F330" s="41">
        <f>F328+F329</f>
        <v>0</v>
      </c>
      <c r="G330" s="39">
        <f>G328+G329</f>
        <v>0</v>
      </c>
      <c r="H330" s="42"/>
    </row>
    <row r="331" spans="1:8" ht="15.75" thickBot="1">
      <c r="A331" s="39" t="s">
        <v>100</v>
      </c>
      <c r="B331" s="40" t="s">
        <v>287</v>
      </c>
      <c r="C331" s="53" t="s">
        <v>1095</v>
      </c>
      <c r="D331" s="39" t="s">
        <v>231</v>
      </c>
      <c r="E331" s="39">
        <f aca="true" t="shared" si="14" ref="E331:G332">E324*E328/1000</f>
        <v>0</v>
      </c>
      <c r="F331" s="41">
        <f t="shared" si="14"/>
        <v>0</v>
      </c>
      <c r="G331" s="39">
        <f t="shared" si="14"/>
        <v>0</v>
      </c>
      <c r="H331" s="42"/>
    </row>
    <row r="332" spans="1:8" ht="15">
      <c r="A332" s="39" t="s">
        <v>101</v>
      </c>
      <c r="B332" s="40" t="s">
        <v>288</v>
      </c>
      <c r="C332" s="53" t="s">
        <v>1392</v>
      </c>
      <c r="D332" s="39" t="s">
        <v>231</v>
      </c>
      <c r="E332" s="39">
        <f t="shared" si="14"/>
        <v>0</v>
      </c>
      <c r="F332" s="41">
        <f t="shared" si="14"/>
        <v>0</v>
      </c>
      <c r="G332" s="39">
        <f t="shared" si="14"/>
        <v>0</v>
      </c>
      <c r="H332" s="42"/>
    </row>
    <row r="333" spans="1:8" ht="15">
      <c r="A333" s="519"/>
      <c r="B333" s="56"/>
      <c r="C333" s="301"/>
      <c r="D333" s="55"/>
      <c r="E333" s="55"/>
      <c r="F333" s="334"/>
      <c r="G333" s="55"/>
      <c r="H333" s="520"/>
    </row>
    <row r="334" spans="1:8" ht="15">
      <c r="A334" s="452" t="s">
        <v>319</v>
      </c>
      <c r="B334" s="453" t="s">
        <v>723</v>
      </c>
      <c r="C334" s="481"/>
      <c r="D334" s="448"/>
      <c r="E334" s="448"/>
      <c r="F334" s="318"/>
      <c r="G334" s="385"/>
      <c r="H334" s="594"/>
    </row>
    <row r="335" spans="1:8" ht="15">
      <c r="A335" s="95" t="s">
        <v>43</v>
      </c>
      <c r="B335" s="88" t="s">
        <v>878</v>
      </c>
      <c r="C335" s="468" t="s">
        <v>877</v>
      </c>
      <c r="D335" s="91" t="s">
        <v>876</v>
      </c>
      <c r="E335" s="778">
        <v>0</v>
      </c>
      <c r="F335" s="349">
        <f>_xlfn.IFERROR(_xlfn.AVERAGEIF(E335:E335,"&gt;0",E335:E335),0)</f>
        <v>0</v>
      </c>
      <c r="G335" s="535">
        <v>0</v>
      </c>
      <c r="H335" s="588"/>
    </row>
    <row r="336" spans="1:8" ht="15">
      <c r="A336" s="95" t="s">
        <v>44</v>
      </c>
      <c r="B336" s="88" t="s">
        <v>260</v>
      </c>
      <c r="C336" s="89" t="s">
        <v>1075</v>
      </c>
      <c r="D336" s="91" t="s">
        <v>324</v>
      </c>
      <c r="E336" s="778">
        <v>0</v>
      </c>
      <c r="F336" s="349">
        <f>_xlfn.IFERROR(_xlfn.AVERAGEIF(E336:E336,"&gt;0",E336:E336),0)</f>
        <v>0</v>
      </c>
      <c r="G336" s="535">
        <v>0</v>
      </c>
      <c r="H336" s="588"/>
    </row>
    <row r="337" spans="1:8" ht="15">
      <c r="A337" s="95" t="s">
        <v>45</v>
      </c>
      <c r="B337" s="88" t="s">
        <v>253</v>
      </c>
      <c r="C337" s="89" t="s">
        <v>1075</v>
      </c>
      <c r="D337" s="91" t="s">
        <v>324</v>
      </c>
      <c r="E337" s="778">
        <v>0</v>
      </c>
      <c r="F337" s="349">
        <f>_xlfn.IFERROR(_xlfn.AVERAGEIF(E337:E337,"&gt;0",E337:E337),0)</f>
        <v>0</v>
      </c>
      <c r="G337" s="535">
        <v>0</v>
      </c>
      <c r="H337" s="588"/>
    </row>
    <row r="338" spans="1:8" ht="15">
      <c r="A338" s="95" t="s">
        <v>46</v>
      </c>
      <c r="B338" s="88" t="s">
        <v>26</v>
      </c>
      <c r="C338" s="89" t="s">
        <v>110</v>
      </c>
      <c r="D338" s="91" t="s">
        <v>76</v>
      </c>
      <c r="E338" s="778">
        <v>0</v>
      </c>
      <c r="F338" s="349">
        <f>AVERAGEA(E338:E338)</f>
        <v>0</v>
      </c>
      <c r="G338" s="877">
        <v>0</v>
      </c>
      <c r="H338" s="588"/>
    </row>
    <row r="339" spans="1:8" ht="15">
      <c r="A339" s="95" t="s">
        <v>47</v>
      </c>
      <c r="B339" s="88" t="s">
        <v>1115</v>
      </c>
      <c r="C339" s="89" t="s">
        <v>1138</v>
      </c>
      <c r="D339" s="91" t="s">
        <v>3</v>
      </c>
      <c r="E339" s="778">
        <v>0</v>
      </c>
      <c r="F339" s="349">
        <f>_xlfn.IFERROR(_xlfn.AVERAGEIF(E339:E339,"&gt;0",E339:E339),0)</f>
        <v>0</v>
      </c>
      <c r="G339" s="535">
        <v>0</v>
      </c>
      <c r="H339" s="588"/>
    </row>
    <row r="340" spans="1:8" ht="15">
      <c r="A340" s="95" t="s">
        <v>48</v>
      </c>
      <c r="B340" s="88" t="s">
        <v>27</v>
      </c>
      <c r="C340" s="89" t="s">
        <v>110</v>
      </c>
      <c r="D340" s="91" t="s">
        <v>76</v>
      </c>
      <c r="E340" s="778">
        <v>0</v>
      </c>
      <c r="F340" s="349">
        <f>AVERAGEA(E340:E340)</f>
        <v>0</v>
      </c>
      <c r="G340" s="877">
        <v>0</v>
      </c>
      <c r="H340" s="588"/>
    </row>
    <row r="341" spans="1:8" ht="15.75" thickBot="1">
      <c r="A341" s="198" t="s">
        <v>49</v>
      </c>
      <c r="B341" s="88" t="s">
        <v>286</v>
      </c>
      <c r="C341" s="89" t="s">
        <v>181</v>
      </c>
      <c r="D341" s="91" t="s">
        <v>76</v>
      </c>
      <c r="E341" s="778">
        <v>0</v>
      </c>
      <c r="F341" s="349">
        <f>AVERAGEA(E341:E341)</f>
        <v>0</v>
      </c>
      <c r="G341" s="535">
        <v>0</v>
      </c>
      <c r="H341" s="588"/>
    </row>
    <row r="342" spans="1:8" ht="15.75" thickBot="1">
      <c r="A342" s="39" t="s">
        <v>50</v>
      </c>
      <c r="B342" s="40" t="s">
        <v>69</v>
      </c>
      <c r="C342" s="53" t="s">
        <v>1391</v>
      </c>
      <c r="D342" s="39" t="s">
        <v>76</v>
      </c>
      <c r="E342" s="39">
        <f>E340+E341</f>
        <v>0</v>
      </c>
      <c r="F342" s="41">
        <f>F340+F341</f>
        <v>0</v>
      </c>
      <c r="G342" s="39">
        <f>G340+G341</f>
        <v>0</v>
      </c>
      <c r="H342" s="42"/>
    </row>
    <row r="343" spans="1:8" ht="15.75" thickBot="1">
      <c r="A343" s="39" t="s">
        <v>100</v>
      </c>
      <c r="B343" s="40" t="s">
        <v>287</v>
      </c>
      <c r="C343" s="53" t="s">
        <v>1095</v>
      </c>
      <c r="D343" s="39" t="s">
        <v>231</v>
      </c>
      <c r="E343" s="39">
        <f aca="true" t="shared" si="15" ref="E343:G344">E336*E340/1000</f>
        <v>0</v>
      </c>
      <c r="F343" s="41">
        <f t="shared" si="15"/>
        <v>0</v>
      </c>
      <c r="G343" s="39">
        <f t="shared" si="15"/>
        <v>0</v>
      </c>
      <c r="H343" s="42"/>
    </row>
    <row r="344" spans="1:8" ht="15">
      <c r="A344" s="39" t="s">
        <v>101</v>
      </c>
      <c r="B344" s="40" t="s">
        <v>288</v>
      </c>
      <c r="C344" s="53" t="s">
        <v>1392</v>
      </c>
      <c r="D344" s="39" t="s">
        <v>231</v>
      </c>
      <c r="E344" s="39">
        <f t="shared" si="15"/>
        <v>0</v>
      </c>
      <c r="F344" s="41">
        <f t="shared" si="15"/>
        <v>0</v>
      </c>
      <c r="G344" s="39">
        <f t="shared" si="15"/>
        <v>0</v>
      </c>
      <c r="H344" s="42"/>
    </row>
    <row r="345" spans="1:8" ht="15">
      <c r="A345" s="519"/>
      <c r="B345" s="56"/>
      <c r="C345" s="301"/>
      <c r="D345" s="55"/>
      <c r="E345" s="55"/>
      <c r="F345" s="334"/>
      <c r="G345" s="55"/>
      <c r="H345" s="520"/>
    </row>
    <row r="346" spans="1:8" ht="15">
      <c r="A346" s="452" t="s">
        <v>320</v>
      </c>
      <c r="B346" s="453" t="s">
        <v>724</v>
      </c>
      <c r="C346" s="481"/>
      <c r="D346" s="448"/>
      <c r="E346" s="448"/>
      <c r="F346" s="318"/>
      <c r="G346" s="385"/>
      <c r="H346" s="594"/>
    </row>
    <row r="347" spans="1:8" ht="15">
      <c r="A347" s="95" t="s">
        <v>43</v>
      </c>
      <c r="B347" s="88" t="s">
        <v>878</v>
      </c>
      <c r="C347" s="468" t="s">
        <v>877</v>
      </c>
      <c r="D347" s="91" t="s">
        <v>876</v>
      </c>
      <c r="E347" s="778">
        <v>0</v>
      </c>
      <c r="F347" s="349">
        <f>_xlfn.IFERROR(_xlfn.AVERAGEIF(E347:E347,"&gt;0",E347:E347),0)</f>
        <v>0</v>
      </c>
      <c r="G347" s="535">
        <v>0</v>
      </c>
      <c r="H347" s="588"/>
    </row>
    <row r="348" spans="1:8" ht="15">
      <c r="A348" s="95" t="s">
        <v>44</v>
      </c>
      <c r="B348" s="88" t="s">
        <v>260</v>
      </c>
      <c r="C348" s="89" t="s">
        <v>1075</v>
      </c>
      <c r="D348" s="91" t="s">
        <v>324</v>
      </c>
      <c r="E348" s="778">
        <v>0</v>
      </c>
      <c r="F348" s="349">
        <f>_xlfn.IFERROR(_xlfn.AVERAGEIF(E348:E348,"&gt;0",E348:E348),0)</f>
        <v>0</v>
      </c>
      <c r="G348" s="535">
        <v>0</v>
      </c>
      <c r="H348" s="588"/>
    </row>
    <row r="349" spans="1:8" ht="15">
      <c r="A349" s="95" t="s">
        <v>45</v>
      </c>
      <c r="B349" s="88" t="s">
        <v>253</v>
      </c>
      <c r="C349" s="89" t="s">
        <v>1075</v>
      </c>
      <c r="D349" s="91" t="s">
        <v>324</v>
      </c>
      <c r="E349" s="778">
        <v>0</v>
      </c>
      <c r="F349" s="349">
        <f>_xlfn.IFERROR(_xlfn.AVERAGEIF(E349:E349,"&gt;0",E349:E349),0)</f>
        <v>0</v>
      </c>
      <c r="G349" s="535">
        <v>0</v>
      </c>
      <c r="H349" s="588"/>
    </row>
    <row r="350" spans="1:8" ht="15">
      <c r="A350" s="95" t="s">
        <v>46</v>
      </c>
      <c r="B350" s="88" t="s">
        <v>26</v>
      </c>
      <c r="C350" s="89" t="s">
        <v>110</v>
      </c>
      <c r="D350" s="91" t="s">
        <v>76</v>
      </c>
      <c r="E350" s="778">
        <v>0</v>
      </c>
      <c r="F350" s="349">
        <f>AVERAGEA(E350:E350)</f>
        <v>0</v>
      </c>
      <c r="G350" s="877">
        <v>0</v>
      </c>
      <c r="H350" s="588"/>
    </row>
    <row r="351" spans="1:8" ht="15">
      <c r="A351" s="95" t="s">
        <v>47</v>
      </c>
      <c r="B351" s="88" t="s">
        <v>1115</v>
      </c>
      <c r="C351" s="89" t="s">
        <v>1138</v>
      </c>
      <c r="D351" s="91" t="s">
        <v>3</v>
      </c>
      <c r="E351" s="778">
        <v>0</v>
      </c>
      <c r="F351" s="349">
        <f>_xlfn.IFERROR(_xlfn.AVERAGEIF(E351:E351,"&gt;0",E351:E351),0)</f>
        <v>0</v>
      </c>
      <c r="G351" s="535">
        <v>0</v>
      </c>
      <c r="H351" s="588"/>
    </row>
    <row r="352" spans="1:8" ht="15">
      <c r="A352" s="95" t="s">
        <v>48</v>
      </c>
      <c r="B352" s="88" t="s">
        <v>27</v>
      </c>
      <c r="C352" s="89" t="s">
        <v>110</v>
      </c>
      <c r="D352" s="91" t="s">
        <v>76</v>
      </c>
      <c r="E352" s="778">
        <v>0</v>
      </c>
      <c r="F352" s="349">
        <f>AVERAGEA(E352:E352)</f>
        <v>0</v>
      </c>
      <c r="G352" s="877">
        <v>0</v>
      </c>
      <c r="H352" s="588"/>
    </row>
    <row r="353" spans="1:8" ht="15.75" thickBot="1">
      <c r="A353" s="95" t="s">
        <v>49</v>
      </c>
      <c r="B353" s="88" t="s">
        <v>286</v>
      </c>
      <c r="C353" s="89" t="s">
        <v>181</v>
      </c>
      <c r="D353" s="91" t="s">
        <v>76</v>
      </c>
      <c r="E353" s="778">
        <v>0</v>
      </c>
      <c r="F353" s="349">
        <f>AVERAGEA(E353:E353)</f>
        <v>0</v>
      </c>
      <c r="G353" s="535">
        <v>0</v>
      </c>
      <c r="H353" s="588"/>
    </row>
    <row r="354" spans="1:8" ht="15.75" thickBot="1">
      <c r="A354" s="39" t="s">
        <v>50</v>
      </c>
      <c r="B354" s="40" t="s">
        <v>69</v>
      </c>
      <c r="C354" s="53" t="s">
        <v>1391</v>
      </c>
      <c r="D354" s="39" t="s">
        <v>76</v>
      </c>
      <c r="E354" s="39">
        <f>E352+E353</f>
        <v>0</v>
      </c>
      <c r="F354" s="41">
        <f>F352+F353</f>
        <v>0</v>
      </c>
      <c r="G354" s="39">
        <f>G352+G353</f>
        <v>0</v>
      </c>
      <c r="H354" s="42"/>
    </row>
    <row r="355" spans="1:8" ht="15.75" thickBot="1">
      <c r="A355" s="39" t="s">
        <v>100</v>
      </c>
      <c r="B355" s="40" t="s">
        <v>287</v>
      </c>
      <c r="C355" s="53" t="s">
        <v>1095</v>
      </c>
      <c r="D355" s="39" t="s">
        <v>231</v>
      </c>
      <c r="E355" s="39">
        <f aca="true" t="shared" si="16" ref="E355:G356">E348*E352/1000</f>
        <v>0</v>
      </c>
      <c r="F355" s="41">
        <f t="shared" si="16"/>
        <v>0</v>
      </c>
      <c r="G355" s="39">
        <f t="shared" si="16"/>
        <v>0</v>
      </c>
      <c r="H355" s="42"/>
    </row>
    <row r="356" spans="1:8" ht="15">
      <c r="A356" s="39" t="s">
        <v>101</v>
      </c>
      <c r="B356" s="40" t="s">
        <v>288</v>
      </c>
      <c r="C356" s="53" t="s">
        <v>1392</v>
      </c>
      <c r="D356" s="39" t="s">
        <v>231</v>
      </c>
      <c r="E356" s="39">
        <f t="shared" si="16"/>
        <v>0</v>
      </c>
      <c r="F356" s="41">
        <f t="shared" si="16"/>
        <v>0</v>
      </c>
      <c r="G356" s="39">
        <f t="shared" si="16"/>
        <v>0</v>
      </c>
      <c r="H356" s="42"/>
    </row>
    <row r="357" spans="1:8" ht="15">
      <c r="A357" s="519"/>
      <c r="B357" s="56"/>
      <c r="C357" s="301"/>
      <c r="D357" s="55"/>
      <c r="E357" s="55"/>
      <c r="F357" s="334"/>
      <c r="G357" s="55"/>
      <c r="H357" s="520"/>
    </row>
    <row r="358" spans="1:8" ht="15">
      <c r="A358" s="839" t="s">
        <v>725</v>
      </c>
      <c r="B358" s="840" t="s">
        <v>1667</v>
      </c>
      <c r="C358" s="841"/>
      <c r="D358" s="482"/>
      <c r="E358" s="482"/>
      <c r="F358" s="482"/>
      <c r="G358" s="482"/>
      <c r="H358" s="482"/>
    </row>
    <row r="359" spans="1:8" ht="15">
      <c r="A359" s="95" t="s">
        <v>43</v>
      </c>
      <c r="B359" s="88" t="s">
        <v>878</v>
      </c>
      <c r="C359" s="468" t="s">
        <v>877</v>
      </c>
      <c r="D359" s="91" t="s">
        <v>876</v>
      </c>
      <c r="E359" s="873">
        <v>0</v>
      </c>
      <c r="F359" s="349">
        <f>_xlfn.IFERROR(_xlfn.AVERAGEIF(E359:E359,"&gt;0",E359:E359),0)</f>
        <v>0</v>
      </c>
      <c r="G359" s="873"/>
      <c r="H359" s="520"/>
    </row>
    <row r="360" spans="1:8" ht="15">
      <c r="A360" s="95" t="s">
        <v>44</v>
      </c>
      <c r="B360" s="88" t="s">
        <v>260</v>
      </c>
      <c r="C360" s="89" t="s">
        <v>1075</v>
      </c>
      <c r="D360" s="91" t="s">
        <v>324</v>
      </c>
      <c r="E360" s="873">
        <v>0</v>
      </c>
      <c r="F360" s="349">
        <f>_xlfn.IFERROR(_xlfn.AVERAGEIF(E360:E360,"&gt;0",E360:E360),0)</f>
        <v>0</v>
      </c>
      <c r="G360" s="873"/>
      <c r="H360" s="520"/>
    </row>
    <row r="361" spans="1:8" ht="15">
      <c r="A361" s="836" t="s">
        <v>45</v>
      </c>
      <c r="B361" s="88" t="s">
        <v>26</v>
      </c>
      <c r="C361" s="89" t="s">
        <v>110</v>
      </c>
      <c r="D361" s="91" t="s">
        <v>76</v>
      </c>
      <c r="E361" s="873">
        <v>0</v>
      </c>
      <c r="F361" s="349">
        <f>AVERAGEA(E361:E361)</f>
        <v>0</v>
      </c>
      <c r="G361" s="873"/>
      <c r="H361" s="520"/>
    </row>
    <row r="362" spans="1:8" ht="15.75" thickBot="1">
      <c r="A362" s="836" t="s">
        <v>46</v>
      </c>
      <c r="B362" s="833" t="s">
        <v>1668</v>
      </c>
      <c r="C362" s="89" t="s">
        <v>110</v>
      </c>
      <c r="D362" s="91" t="s">
        <v>76</v>
      </c>
      <c r="E362" s="873">
        <v>0</v>
      </c>
      <c r="F362" s="349">
        <f>AVERAGEA(E362:E362)</f>
        <v>0</v>
      </c>
      <c r="G362" s="873"/>
      <c r="H362" s="520"/>
    </row>
    <row r="363" spans="1:8" ht="15.75" thickBot="1">
      <c r="A363" s="846" t="s">
        <v>47</v>
      </c>
      <c r="B363" s="847" t="s">
        <v>69</v>
      </c>
      <c r="C363" s="848" t="s">
        <v>46</v>
      </c>
      <c r="D363" s="846" t="s">
        <v>76</v>
      </c>
      <c r="E363" s="846">
        <f>E362</f>
        <v>0</v>
      </c>
      <c r="F363" s="846">
        <f>F362</f>
        <v>0</v>
      </c>
      <c r="G363" s="846">
        <f>G362</f>
        <v>0</v>
      </c>
      <c r="H363" s="846"/>
    </row>
    <row r="364" spans="1:8" ht="15">
      <c r="A364" s="846" t="s">
        <v>48</v>
      </c>
      <c r="B364" s="847" t="s">
        <v>1669</v>
      </c>
      <c r="C364" s="848" t="s">
        <v>1670</v>
      </c>
      <c r="D364" s="846" t="s">
        <v>231</v>
      </c>
      <c r="E364" s="846">
        <f>E360*E362/1000</f>
        <v>0</v>
      </c>
      <c r="F364" s="846">
        <f>F360*F362/1000</f>
        <v>0</v>
      </c>
      <c r="G364" s="846">
        <f>G360*G362/1000</f>
        <v>0</v>
      </c>
      <c r="H364" s="520"/>
    </row>
    <row r="365" spans="1:8" ht="15">
      <c r="A365" s="845"/>
      <c r="B365" s="56"/>
      <c r="C365" s="301"/>
      <c r="D365" s="55"/>
      <c r="E365" s="55"/>
      <c r="F365" s="334"/>
      <c r="G365" s="55"/>
      <c r="H365" s="520"/>
    </row>
    <row r="366" spans="1:8" ht="46.5" customHeight="1">
      <c r="A366" s="839" t="s">
        <v>726</v>
      </c>
      <c r="B366" s="453" t="s">
        <v>106</v>
      </c>
      <c r="C366" s="1011" t="s">
        <v>1107</v>
      </c>
      <c r="D366" s="1011"/>
      <c r="E366" s="481"/>
      <c r="F366" s="318"/>
      <c r="G366" s="385"/>
      <c r="H366" s="602"/>
    </row>
    <row r="367" spans="1:8" ht="15">
      <c r="A367" s="95" t="s">
        <v>43</v>
      </c>
      <c r="B367" s="88" t="s">
        <v>878</v>
      </c>
      <c r="C367" s="469" t="s">
        <v>877</v>
      </c>
      <c r="D367" s="91" t="s">
        <v>876</v>
      </c>
      <c r="E367" s="878"/>
      <c r="F367" s="349">
        <f>_xlfn.IFERROR(_xlfn.AVERAGEIF(E367:E367,"&gt;0",E367:E367),0)</f>
        <v>0</v>
      </c>
      <c r="G367" s="880"/>
      <c r="H367" s="880"/>
    </row>
    <row r="368" spans="1:8" ht="15">
      <c r="A368" s="95" t="s">
        <v>44</v>
      </c>
      <c r="B368" s="88" t="s">
        <v>29</v>
      </c>
      <c r="C368" s="89" t="s">
        <v>1075</v>
      </c>
      <c r="D368" s="91" t="s">
        <v>324</v>
      </c>
      <c r="E368" s="898"/>
      <c r="F368" s="349">
        <f>_xlfn.IFERROR(_xlfn.AVERAGEIF(E368:E368,"&gt;0",E368:E368),0)</f>
        <v>0</v>
      </c>
      <c r="G368" s="877"/>
      <c r="H368" s="880"/>
    </row>
    <row r="369" spans="1:8" ht="15">
      <c r="A369" s="95" t="s">
        <v>45</v>
      </c>
      <c r="B369" s="88" t="s">
        <v>26</v>
      </c>
      <c r="C369" s="89" t="s">
        <v>110</v>
      </c>
      <c r="D369" s="91" t="s">
        <v>76</v>
      </c>
      <c r="E369" s="878">
        <v>0</v>
      </c>
      <c r="F369" s="349">
        <f>AVERAGEA(E369:E369)</f>
        <v>0</v>
      </c>
      <c r="G369" s="880"/>
      <c r="H369" s="880"/>
    </row>
    <row r="370" spans="1:8" ht="15">
      <c r="A370" s="95" t="s">
        <v>46</v>
      </c>
      <c r="B370" s="88" t="s">
        <v>1115</v>
      </c>
      <c r="C370" s="89" t="s">
        <v>1114</v>
      </c>
      <c r="D370" s="91" t="s">
        <v>3</v>
      </c>
      <c r="E370" s="878"/>
      <c r="F370" s="349">
        <f>_xlfn.IFERROR(_xlfn.AVERAGEIF(E370:E370,"&gt;0",E370:E370),0)</f>
        <v>0</v>
      </c>
      <c r="G370" s="880"/>
      <c r="H370" s="880"/>
    </row>
    <row r="371" spans="1:8" ht="15">
      <c r="A371" s="433" t="s">
        <v>47</v>
      </c>
      <c r="B371" s="88" t="s">
        <v>70</v>
      </c>
      <c r="C371" s="89" t="s">
        <v>110</v>
      </c>
      <c r="D371" s="91" t="s">
        <v>76</v>
      </c>
      <c r="E371" s="878">
        <v>0</v>
      </c>
      <c r="F371" s="349">
        <f>AVERAGEA(E371:E371)</f>
        <v>0</v>
      </c>
      <c r="G371" s="877"/>
      <c r="H371" s="880"/>
    </row>
    <row r="372" spans="1:8" ht="15.75" thickBot="1">
      <c r="A372" s="433" t="s">
        <v>48</v>
      </c>
      <c r="B372" s="434" t="s">
        <v>30</v>
      </c>
      <c r="C372" s="435" t="s">
        <v>110</v>
      </c>
      <c r="D372" s="449" t="s">
        <v>76</v>
      </c>
      <c r="E372" s="878">
        <v>0</v>
      </c>
      <c r="F372" s="349">
        <f>AVERAGEA(E372:E372)</f>
        <v>0</v>
      </c>
      <c r="G372" s="877"/>
      <c r="H372" s="880"/>
    </row>
    <row r="373" spans="1:8" ht="15.75" thickBot="1">
      <c r="A373" s="50" t="s">
        <v>49</v>
      </c>
      <c r="B373" s="58" t="s">
        <v>69</v>
      </c>
      <c r="C373" s="314" t="s">
        <v>1093</v>
      </c>
      <c r="D373" s="50" t="s">
        <v>76</v>
      </c>
      <c r="E373" s="50">
        <f>E371+E372</f>
        <v>0</v>
      </c>
      <c r="F373" s="335">
        <f>F371+F372</f>
        <v>0</v>
      </c>
      <c r="G373" s="50">
        <f>G371+G372</f>
        <v>0</v>
      </c>
      <c r="H373" s="50"/>
    </row>
    <row r="374" spans="1:8" ht="15.75" thickBot="1">
      <c r="A374" s="50" t="s">
        <v>50</v>
      </c>
      <c r="B374" s="58" t="s">
        <v>287</v>
      </c>
      <c r="C374" s="314" t="s">
        <v>1094</v>
      </c>
      <c r="D374" s="50" t="s">
        <v>231</v>
      </c>
      <c r="E374" s="50">
        <f>E368*E371/1000</f>
        <v>0</v>
      </c>
      <c r="F374" s="335">
        <f>F368*F371/1000</f>
        <v>0</v>
      </c>
      <c r="G374" s="50">
        <f>G368*G371/1000</f>
        <v>0</v>
      </c>
      <c r="H374" s="50"/>
    </row>
    <row r="375" spans="1:8" ht="15.75" thickBot="1">
      <c r="A375" s="50" t="s">
        <v>100</v>
      </c>
      <c r="B375" s="58" t="s">
        <v>288</v>
      </c>
      <c r="C375" s="314" t="s">
        <v>1095</v>
      </c>
      <c r="D375" s="50" t="s">
        <v>231</v>
      </c>
      <c r="E375" s="50">
        <f>E368*E372/1000</f>
        <v>0</v>
      </c>
      <c r="F375" s="335">
        <f>F368*F372/1000</f>
        <v>0</v>
      </c>
      <c r="G375" s="50">
        <f>G368*G372/1000</f>
        <v>0</v>
      </c>
      <c r="H375" s="50"/>
    </row>
    <row r="376" spans="1:8" ht="60" customHeight="1">
      <c r="A376" s="849" t="s">
        <v>727</v>
      </c>
      <c r="B376" s="470" t="s">
        <v>261</v>
      </c>
      <c r="C376" s="987" t="s">
        <v>1108</v>
      </c>
      <c r="D376" s="987"/>
      <c r="E376" s="762"/>
      <c r="F376" s="336"/>
      <c r="G376" s="317"/>
      <c r="H376" s="600"/>
    </row>
    <row r="377" spans="1:8" ht="15">
      <c r="A377" s="95" t="s">
        <v>43</v>
      </c>
      <c r="B377" s="88" t="s">
        <v>878</v>
      </c>
      <c r="C377" s="469" t="s">
        <v>877</v>
      </c>
      <c r="D377" s="91" t="s">
        <v>876</v>
      </c>
      <c r="E377" s="778"/>
      <c r="F377" s="349">
        <f>_xlfn.IFERROR(_xlfn.AVERAGEIF(E377:E377,"&gt;0",E377:E377),0)</f>
        <v>0</v>
      </c>
      <c r="G377" s="880"/>
      <c r="H377" s="880"/>
    </row>
    <row r="378" spans="1:8" ht="15">
      <c r="A378" s="95" t="s">
        <v>44</v>
      </c>
      <c r="B378" s="88" t="s">
        <v>29</v>
      </c>
      <c r="C378" s="89" t="s">
        <v>1075</v>
      </c>
      <c r="D378" s="91" t="s">
        <v>324</v>
      </c>
      <c r="E378" s="778"/>
      <c r="F378" s="508">
        <f>_xlfn.IFERROR(_xlfn.AVERAGEIF(E378:E378,"&gt;0",E378:E378),0)</f>
        <v>0</v>
      </c>
      <c r="G378" s="877"/>
      <c r="H378" s="880"/>
    </row>
    <row r="379" spans="1:8" ht="15">
      <c r="A379" s="95" t="s">
        <v>45</v>
      </c>
      <c r="B379" s="88" t="s">
        <v>26</v>
      </c>
      <c r="C379" s="89" t="s">
        <v>110</v>
      </c>
      <c r="D379" s="91" t="s">
        <v>76</v>
      </c>
      <c r="E379" s="778"/>
      <c r="F379" s="508" t="e">
        <f>AVERAGEA(E379:E379)</f>
        <v>#DIV/0!</v>
      </c>
      <c r="G379" s="880"/>
      <c r="H379" s="880"/>
    </row>
    <row r="380" spans="1:8" ht="15">
      <c r="A380" s="95" t="s">
        <v>46</v>
      </c>
      <c r="B380" s="88" t="s">
        <v>1115</v>
      </c>
      <c r="C380" s="89" t="s">
        <v>1114</v>
      </c>
      <c r="D380" s="91" t="s">
        <v>3</v>
      </c>
      <c r="E380" s="778"/>
      <c r="F380" s="508">
        <f>_xlfn.IFERROR(_xlfn.AVERAGEIF(E380:E380,"&gt;0",E380:E380),0)</f>
        <v>0</v>
      </c>
      <c r="G380" s="880"/>
      <c r="H380" s="880"/>
    </row>
    <row r="381" spans="1:8" ht="15">
      <c r="A381" s="433" t="s">
        <v>47</v>
      </c>
      <c r="B381" s="434" t="s">
        <v>70</v>
      </c>
      <c r="C381" s="435" t="s">
        <v>110</v>
      </c>
      <c r="D381" s="449" t="s">
        <v>76</v>
      </c>
      <c r="E381" s="778"/>
      <c r="F381" s="508" t="e">
        <f>AVERAGEA(E381:E381)</f>
        <v>#DIV/0!</v>
      </c>
      <c r="G381" s="877"/>
      <c r="H381" s="890"/>
    </row>
    <row r="382" spans="1:8" ht="15.75" thickBot="1">
      <c r="A382" s="519" t="s">
        <v>48</v>
      </c>
      <c r="B382" s="56" t="s">
        <v>30</v>
      </c>
      <c r="C382" s="301" t="s">
        <v>110</v>
      </c>
      <c r="D382" s="55" t="s">
        <v>76</v>
      </c>
      <c r="E382" s="778"/>
      <c r="F382" s="508" t="e">
        <f>AVERAGEA(E382:E382)</f>
        <v>#DIV/0!</v>
      </c>
      <c r="G382" s="877"/>
      <c r="H382" s="880"/>
    </row>
    <row r="383" spans="1:8" ht="15.75" thickBot="1">
      <c r="A383" s="299" t="s">
        <v>49</v>
      </c>
      <c r="B383" s="300" t="s">
        <v>69</v>
      </c>
      <c r="C383" s="314" t="s">
        <v>1093</v>
      </c>
      <c r="D383" s="299" t="s">
        <v>76</v>
      </c>
      <c r="E383" s="505">
        <f>E381+E382</f>
        <v>0</v>
      </c>
      <c r="F383" s="507" t="e">
        <f>F381+F382</f>
        <v>#DIV/0!</v>
      </c>
      <c r="G383" s="506">
        <f>G381+G382</f>
        <v>0</v>
      </c>
      <c r="H383" s="506"/>
    </row>
    <row r="384" spans="1:8" ht="15.75" thickBot="1">
      <c r="A384" s="50" t="s">
        <v>50</v>
      </c>
      <c r="B384" s="58" t="s">
        <v>287</v>
      </c>
      <c r="C384" s="314" t="s">
        <v>1094</v>
      </c>
      <c r="D384" s="50" t="s">
        <v>231</v>
      </c>
      <c r="E384" s="50">
        <f>E378*E381/1000</f>
        <v>0</v>
      </c>
      <c r="F384" s="337" t="e">
        <f>F378*F381/1000</f>
        <v>#DIV/0!</v>
      </c>
      <c r="G384" s="50">
        <f>G378*G381/1000</f>
        <v>0</v>
      </c>
      <c r="H384" s="50"/>
    </row>
    <row r="385" spans="1:8" ht="15.75" thickBot="1">
      <c r="A385" s="50" t="s">
        <v>100</v>
      </c>
      <c r="B385" s="58" t="s">
        <v>288</v>
      </c>
      <c r="C385" s="314" t="s">
        <v>1095</v>
      </c>
      <c r="D385" s="50" t="s">
        <v>231</v>
      </c>
      <c r="E385" s="50">
        <f>E378*E382/1000</f>
        <v>0</v>
      </c>
      <c r="F385" s="335" t="e">
        <f>F378*F382/1000</f>
        <v>#DIV/0!</v>
      </c>
      <c r="G385" s="50">
        <f>G378*G382/1000</f>
        <v>0</v>
      </c>
      <c r="H385" s="50"/>
    </row>
    <row r="386" spans="1:8" ht="111" customHeight="1" thickBot="1">
      <c r="A386" s="850" t="s">
        <v>728</v>
      </c>
      <c r="B386" s="635" t="s">
        <v>528</v>
      </c>
      <c r="C386" s="314" t="s">
        <v>1394</v>
      </c>
      <c r="D386" s="50" t="s">
        <v>231</v>
      </c>
      <c r="E386" s="50">
        <f>IF(E216="yes",E271+E283+E295+E307+E319+E331+E343+E355+E374+E384,E271+E283+E295+E307+E319+E331+E343+E355-E364)</f>
        <v>0</v>
      </c>
      <c r="F386" s="50" t="e">
        <f>IF(F216="yes",F271+F283+F295+F307+F319+F331+F343+F355+F374+F384,F271+F283+F295+F307+F319+F331+F343+F355-F364)</f>
        <v>#DIV/0!</v>
      </c>
      <c r="G386" s="50">
        <f>IF(G216="yes",G271+G283+G295+G307+G319+G331+G343+G355+G374+G384,G271+G283+G295+G307+G319+G331+G343+G355-G364)</f>
        <v>0</v>
      </c>
      <c r="H386" s="50"/>
    </row>
    <row r="387" spans="1:8" ht="45">
      <c r="A387" s="851" t="s">
        <v>1671</v>
      </c>
      <c r="B387" s="298" t="s">
        <v>529</v>
      </c>
      <c r="C387" s="315" t="s">
        <v>1393</v>
      </c>
      <c r="D387" s="42" t="s">
        <v>231</v>
      </c>
      <c r="E387" s="42">
        <f>E272+E284+E296+E308+E320+E332+E344+E356</f>
        <v>0</v>
      </c>
      <c r="F387" s="338" t="e">
        <f>F272+F284+F296+F308+F320+F332+F344+F356</f>
        <v>#DIV/0!</v>
      </c>
      <c r="G387" s="42">
        <f>G272+G284+G296+G308+G320+G332+G344+G356</f>
        <v>0</v>
      </c>
      <c r="H387" s="42"/>
    </row>
    <row r="388" spans="1:8" ht="15">
      <c r="A388" s="522"/>
      <c r="B388" s="56"/>
      <c r="C388" s="301"/>
      <c r="D388" s="55"/>
      <c r="E388" s="56"/>
      <c r="F388" s="339"/>
      <c r="G388" s="56"/>
      <c r="H388" s="521"/>
    </row>
    <row r="389" spans="1:8" ht="15">
      <c r="A389" s="471" t="s">
        <v>38</v>
      </c>
      <c r="B389" s="472" t="s">
        <v>11</v>
      </c>
      <c r="C389" s="473"/>
      <c r="D389" s="474"/>
      <c r="E389" s="474"/>
      <c r="F389" s="340"/>
      <c r="G389" s="262"/>
      <c r="H389" s="600"/>
    </row>
    <row r="390" spans="1:8" ht="15">
      <c r="A390" s="475" t="s">
        <v>39</v>
      </c>
      <c r="B390" s="476" t="s">
        <v>12</v>
      </c>
      <c r="C390" s="455"/>
      <c r="D390" s="91"/>
      <c r="E390" s="91"/>
      <c r="F390" s="38"/>
      <c r="G390" s="295"/>
      <c r="H390" s="588"/>
    </row>
    <row r="391" spans="1:8" ht="15">
      <c r="A391" s="95" t="s">
        <v>43</v>
      </c>
      <c r="B391" s="88" t="s">
        <v>878</v>
      </c>
      <c r="C391" s="469" t="s">
        <v>877</v>
      </c>
      <c r="D391" s="91" t="s">
        <v>876</v>
      </c>
      <c r="E391" s="878"/>
      <c r="F391" s="349">
        <f>_xlfn.IFERROR(_xlfn.AVERAGEIF(E391:E391,"&gt;0",E391:E391),0)</f>
        <v>0</v>
      </c>
      <c r="G391" s="880"/>
      <c r="H391" s="880"/>
    </row>
    <row r="392" spans="1:8" ht="15">
      <c r="A392" s="95" t="s">
        <v>44</v>
      </c>
      <c r="B392" s="88" t="s">
        <v>28</v>
      </c>
      <c r="C392" s="89" t="s">
        <v>1075</v>
      </c>
      <c r="D392" s="91" t="s">
        <v>324</v>
      </c>
      <c r="E392" s="878"/>
      <c r="F392" s="349">
        <f>_xlfn.IFERROR(_xlfn.AVERAGEIF(E392:E392,"&gt;0",E392:E392),0)</f>
        <v>0</v>
      </c>
      <c r="G392" s="880"/>
      <c r="H392" s="880"/>
    </row>
    <row r="393" spans="1:8" ht="15">
      <c r="A393" s="517" t="s">
        <v>45</v>
      </c>
      <c r="B393" s="88" t="s">
        <v>32</v>
      </c>
      <c r="C393" s="89" t="s">
        <v>1186</v>
      </c>
      <c r="D393" s="91" t="s">
        <v>113</v>
      </c>
      <c r="E393" s="878"/>
      <c r="F393" s="508" t="e">
        <f>AVERAGEA(E393:E393)</f>
        <v>#DIV/0!</v>
      </c>
      <c r="G393" s="880"/>
      <c r="H393" s="880"/>
    </row>
    <row r="394" spans="1:8" ht="15">
      <c r="A394" s="517" t="s">
        <v>46</v>
      </c>
      <c r="B394" s="88" t="s">
        <v>31</v>
      </c>
      <c r="C394" s="89" t="s">
        <v>110</v>
      </c>
      <c r="D394" s="91" t="s">
        <v>66</v>
      </c>
      <c r="E394" s="878"/>
      <c r="F394" s="508">
        <f>_xlfn.IFERROR(_xlfn.AVERAGEIF(E394:E394,"&gt;0",E394:E394),0)</f>
        <v>0</v>
      </c>
      <c r="G394" s="880"/>
      <c r="H394" s="880"/>
    </row>
    <row r="395" spans="1:8" ht="15">
      <c r="A395" s="517" t="s">
        <v>47</v>
      </c>
      <c r="B395" s="88" t="s">
        <v>289</v>
      </c>
      <c r="C395" s="89" t="s">
        <v>110</v>
      </c>
      <c r="D395" s="91" t="s">
        <v>113</v>
      </c>
      <c r="E395" s="878"/>
      <c r="F395" s="508" t="e">
        <f>AVERAGEA(E395:E395)</f>
        <v>#DIV/0!</v>
      </c>
      <c r="G395" s="880"/>
      <c r="H395" s="880"/>
    </row>
    <row r="396" spans="1:8" ht="15">
      <c r="A396" s="517" t="s">
        <v>48</v>
      </c>
      <c r="B396" s="88" t="s">
        <v>290</v>
      </c>
      <c r="C396" s="89" t="s">
        <v>110</v>
      </c>
      <c r="D396" s="91" t="s">
        <v>113</v>
      </c>
      <c r="E396" s="878"/>
      <c r="F396" s="508" t="e">
        <f>AVERAGEA(E396:E396)</f>
        <v>#DIV/0!</v>
      </c>
      <c r="G396" s="880"/>
      <c r="H396" s="880"/>
    </row>
    <row r="397" spans="1:8" ht="45">
      <c r="A397" s="517" t="s">
        <v>49</v>
      </c>
      <c r="B397" s="88" t="s">
        <v>30</v>
      </c>
      <c r="C397" s="89" t="s">
        <v>182</v>
      </c>
      <c r="D397" s="91" t="s">
        <v>113</v>
      </c>
      <c r="E397" s="878"/>
      <c r="F397" s="508" t="e">
        <f>AVERAGEA(E397:E397)</f>
        <v>#DIV/0!</v>
      </c>
      <c r="G397" s="877"/>
      <c r="H397" s="880"/>
    </row>
    <row r="398" spans="1:8" ht="15.75" thickBot="1">
      <c r="A398" s="513" t="s">
        <v>50</v>
      </c>
      <c r="B398" s="514" t="s">
        <v>530</v>
      </c>
      <c r="C398" s="351" t="s">
        <v>1096</v>
      </c>
      <c r="D398" s="513" t="s">
        <v>76</v>
      </c>
      <c r="E398" s="515">
        <f>(E395+E396+E397)*E394</f>
        <v>0</v>
      </c>
      <c r="F398" s="515" t="e">
        <f>(F395+F396+F397)*F394</f>
        <v>#DIV/0!</v>
      </c>
      <c r="G398" s="515">
        <f>(G395+G396+G397)*G394</f>
        <v>0</v>
      </c>
      <c r="H398" s="601"/>
    </row>
    <row r="399" spans="1:8" ht="30" customHeight="1" thickBot="1">
      <c r="A399" s="39" t="s">
        <v>100</v>
      </c>
      <c r="B399" s="51" t="s">
        <v>322</v>
      </c>
      <c r="C399" s="53" t="s">
        <v>1097</v>
      </c>
      <c r="D399" s="39" t="s">
        <v>231</v>
      </c>
      <c r="E399" s="41">
        <f>((E395)*E394)*E392/1000</f>
        <v>0</v>
      </c>
      <c r="F399" s="41" t="e">
        <f>((F395)*F394)*F392/1000</f>
        <v>#DIV/0!</v>
      </c>
      <c r="G399" s="41">
        <f>((G395)*G394)*G392/1000</f>
        <v>0</v>
      </c>
      <c r="H399" s="338"/>
    </row>
    <row r="400" spans="1:8" ht="30.75" customHeight="1" thickBot="1">
      <c r="A400" s="39" t="s">
        <v>101</v>
      </c>
      <c r="B400" s="51" t="s">
        <v>323</v>
      </c>
      <c r="C400" s="53" t="s">
        <v>1098</v>
      </c>
      <c r="D400" s="39" t="s">
        <v>231</v>
      </c>
      <c r="E400" s="39">
        <f>E396*E394*E392/1000</f>
        <v>0</v>
      </c>
      <c r="F400" s="41" t="e">
        <f>F396*F394*F392/1000</f>
        <v>#DIV/0!</v>
      </c>
      <c r="G400" s="39">
        <f>G396*G394*G392/1000</f>
        <v>0</v>
      </c>
      <c r="H400" s="42"/>
    </row>
    <row r="401" spans="1:8" ht="15">
      <c r="A401" s="39" t="s">
        <v>102</v>
      </c>
      <c r="B401" s="40" t="s">
        <v>288</v>
      </c>
      <c r="C401" s="53" t="s">
        <v>1187</v>
      </c>
      <c r="D401" s="39" t="s">
        <v>231</v>
      </c>
      <c r="E401" s="39">
        <f>E392*E394*E397/1000</f>
        <v>0</v>
      </c>
      <c r="F401" s="41" t="e">
        <f>F392*F394*F397/1000</f>
        <v>#DIV/0!</v>
      </c>
      <c r="G401" s="39">
        <f>G392*G394*G397/1000</f>
        <v>0</v>
      </c>
      <c r="H401" s="42"/>
    </row>
    <row r="402" spans="1:8" ht="15">
      <c r="A402" s="112"/>
      <c r="B402" s="436"/>
      <c r="C402" s="437"/>
      <c r="D402" s="438"/>
      <c r="E402" s="438"/>
      <c r="F402" s="331"/>
      <c r="G402" s="48"/>
      <c r="H402" s="591"/>
    </row>
    <row r="403" spans="1:8" ht="15">
      <c r="A403" s="452" t="s">
        <v>55</v>
      </c>
      <c r="B403" s="453" t="s">
        <v>13</v>
      </c>
      <c r="C403" s="481"/>
      <c r="D403" s="448"/>
      <c r="E403" s="448"/>
      <c r="F403" s="318"/>
      <c r="G403" s="385"/>
      <c r="H403" s="594"/>
    </row>
    <row r="404" spans="1:8" ht="15">
      <c r="A404" s="95" t="s">
        <v>43</v>
      </c>
      <c r="B404" s="88" t="s">
        <v>878</v>
      </c>
      <c r="C404" s="469" t="s">
        <v>877</v>
      </c>
      <c r="D404" s="91" t="s">
        <v>876</v>
      </c>
      <c r="E404" s="778">
        <v>0</v>
      </c>
      <c r="F404" s="349">
        <f>_xlfn.IFERROR(_xlfn.AVERAGEIF(E404:E404,"&gt;0",E404:E404),0)</f>
        <v>0</v>
      </c>
      <c r="G404" s="778">
        <v>0</v>
      </c>
      <c r="H404" s="588"/>
    </row>
    <row r="405" spans="1:8" ht="15">
      <c r="A405" s="95" t="s">
        <v>44</v>
      </c>
      <c r="B405" s="88" t="s">
        <v>28</v>
      </c>
      <c r="C405" s="89" t="s">
        <v>1075</v>
      </c>
      <c r="D405" s="91" t="s">
        <v>324</v>
      </c>
      <c r="E405" s="778">
        <v>0</v>
      </c>
      <c r="F405" s="349">
        <f>_xlfn.IFERROR(_xlfn.AVERAGEIF(E405:E405,"&gt;0",E405:E405),0)</f>
        <v>0</v>
      </c>
      <c r="G405" s="778">
        <v>0</v>
      </c>
      <c r="H405" s="588"/>
    </row>
    <row r="406" spans="1:8" ht="15">
      <c r="A406" s="95" t="s">
        <v>45</v>
      </c>
      <c r="B406" s="88" t="s">
        <v>26</v>
      </c>
      <c r="C406" s="89" t="s">
        <v>1186</v>
      </c>
      <c r="D406" s="91" t="s">
        <v>76</v>
      </c>
      <c r="E406" s="778">
        <v>0</v>
      </c>
      <c r="F406" s="349">
        <f>AVERAGEA(E406:E406)</f>
        <v>0</v>
      </c>
      <c r="G406" s="778">
        <v>0</v>
      </c>
      <c r="H406" s="588"/>
    </row>
    <row r="407" spans="1:8" ht="15">
      <c r="A407" s="95" t="s">
        <v>46</v>
      </c>
      <c r="B407" s="88" t="s">
        <v>289</v>
      </c>
      <c r="C407" s="89" t="s">
        <v>1186</v>
      </c>
      <c r="D407" s="91" t="s">
        <v>76</v>
      </c>
      <c r="E407" s="778">
        <v>0</v>
      </c>
      <c r="F407" s="349">
        <f>AVERAGEA(E407:E407)</f>
        <v>0</v>
      </c>
      <c r="G407" s="778">
        <v>0</v>
      </c>
      <c r="H407" s="588"/>
    </row>
    <row r="408" spans="1:8" ht="15">
      <c r="A408" s="95" t="s">
        <v>47</v>
      </c>
      <c r="B408" s="88" t="s">
        <v>290</v>
      </c>
      <c r="C408" s="89" t="s">
        <v>1186</v>
      </c>
      <c r="D408" s="91" t="s">
        <v>76</v>
      </c>
      <c r="E408" s="778">
        <v>0</v>
      </c>
      <c r="F408" s="349">
        <f>AVERAGEA(E408:E408)</f>
        <v>0</v>
      </c>
      <c r="G408" s="778">
        <v>0</v>
      </c>
      <c r="H408" s="588"/>
    </row>
    <row r="409" spans="1:8" ht="15.75" thickBot="1">
      <c r="A409" s="433" t="s">
        <v>48</v>
      </c>
      <c r="B409" s="434" t="s">
        <v>30</v>
      </c>
      <c r="C409" s="89" t="s">
        <v>1186</v>
      </c>
      <c r="D409" s="449" t="s">
        <v>76</v>
      </c>
      <c r="E409" s="778">
        <v>0</v>
      </c>
      <c r="F409" s="349">
        <f>AVERAGEA(E409:E409)</f>
        <v>0</v>
      </c>
      <c r="G409" s="778">
        <v>0</v>
      </c>
      <c r="H409" s="588"/>
    </row>
    <row r="410" spans="1:8" ht="15.75" thickBot="1">
      <c r="A410" s="39" t="s">
        <v>49</v>
      </c>
      <c r="B410" s="40" t="s">
        <v>114</v>
      </c>
      <c r="C410" s="53" t="s">
        <v>1099</v>
      </c>
      <c r="D410" s="39" t="s">
        <v>76</v>
      </c>
      <c r="E410" s="39">
        <f>E407+E408+E409</f>
        <v>0</v>
      </c>
      <c r="F410" s="41">
        <f>F407+F408+F409</f>
        <v>0</v>
      </c>
      <c r="G410" s="39">
        <f>G407+G408+G409</f>
        <v>0</v>
      </c>
      <c r="H410" s="42"/>
    </row>
    <row r="411" spans="1:8" ht="42" customHeight="1" thickBot="1">
      <c r="A411" s="39" t="s">
        <v>50</v>
      </c>
      <c r="B411" s="51" t="s">
        <v>322</v>
      </c>
      <c r="C411" s="53" t="s">
        <v>1100</v>
      </c>
      <c r="D411" s="39" t="s">
        <v>231</v>
      </c>
      <c r="E411" s="39">
        <f>(E407)*E405/1000</f>
        <v>0</v>
      </c>
      <c r="F411" s="41">
        <f>(F407)*F405/1000</f>
        <v>0</v>
      </c>
      <c r="G411" s="39">
        <f>(G407)*G405/1000</f>
        <v>0</v>
      </c>
      <c r="H411" s="42"/>
    </row>
    <row r="412" spans="1:8" ht="28.5" customHeight="1" thickBot="1">
      <c r="A412" s="39" t="s">
        <v>100</v>
      </c>
      <c r="B412" s="51" t="s">
        <v>323</v>
      </c>
      <c r="C412" s="53" t="s">
        <v>315</v>
      </c>
      <c r="D412" s="39" t="s">
        <v>231</v>
      </c>
      <c r="E412" s="39">
        <f>E408*E405/1000</f>
        <v>0</v>
      </c>
      <c r="F412" s="41">
        <f>F408*F405/1000</f>
        <v>0</v>
      </c>
      <c r="G412" s="39">
        <f>G408*G405/1000</f>
        <v>0</v>
      </c>
      <c r="H412" s="42"/>
    </row>
    <row r="413" spans="1:8" ht="15">
      <c r="A413" s="39" t="s">
        <v>101</v>
      </c>
      <c r="B413" s="40" t="s">
        <v>288</v>
      </c>
      <c r="C413" s="53" t="s">
        <v>1101</v>
      </c>
      <c r="D413" s="39" t="s">
        <v>231</v>
      </c>
      <c r="E413" s="39">
        <f>E409*E405/1000</f>
        <v>0</v>
      </c>
      <c r="F413" s="41">
        <f>F409*F405/1000</f>
        <v>0</v>
      </c>
      <c r="G413" s="39">
        <f>G409*G405/1000</f>
        <v>0</v>
      </c>
      <c r="H413" s="42"/>
    </row>
    <row r="414" spans="1:8" ht="15">
      <c r="A414" s="112"/>
      <c r="B414" s="436"/>
      <c r="C414" s="437"/>
      <c r="D414" s="438"/>
      <c r="E414" s="438"/>
      <c r="F414" s="331"/>
      <c r="G414" s="48"/>
      <c r="H414" s="591"/>
    </row>
    <row r="415" spans="1:8" ht="15">
      <c r="A415" s="452" t="s">
        <v>115</v>
      </c>
      <c r="B415" s="453" t="s">
        <v>14</v>
      </c>
      <c r="C415" s="481"/>
      <c r="D415" s="448"/>
      <c r="E415" s="448"/>
      <c r="F415" s="318"/>
      <c r="G415" s="385"/>
      <c r="H415" s="594"/>
    </row>
    <row r="416" spans="1:8" ht="15">
      <c r="A416" s="95" t="s">
        <v>43</v>
      </c>
      <c r="B416" s="88" t="s">
        <v>878</v>
      </c>
      <c r="C416" s="469" t="s">
        <v>877</v>
      </c>
      <c r="D416" s="91" t="s">
        <v>876</v>
      </c>
      <c r="E416" s="778">
        <v>0</v>
      </c>
      <c r="F416" s="349">
        <f>_xlfn.IFERROR(_xlfn.AVERAGEIF(E416:E416,"&gt;0",E416:E416),0)</f>
        <v>0</v>
      </c>
      <c r="G416" s="778">
        <v>0</v>
      </c>
      <c r="H416" s="588"/>
    </row>
    <row r="417" spans="1:8" ht="15">
      <c r="A417" s="95" t="s">
        <v>44</v>
      </c>
      <c r="B417" s="88" t="s">
        <v>28</v>
      </c>
      <c r="C417" s="89" t="s">
        <v>1075</v>
      </c>
      <c r="D417" s="91" t="s">
        <v>324</v>
      </c>
      <c r="E417" s="778">
        <v>0</v>
      </c>
      <c r="F417" s="349">
        <f>_xlfn.IFERROR(_xlfn.AVERAGEIF(E417:E417,"&gt;0",E417:E417),0)</f>
        <v>0</v>
      </c>
      <c r="G417" s="778">
        <v>0</v>
      </c>
      <c r="H417" s="588"/>
    </row>
    <row r="418" spans="1:8" ht="15">
      <c r="A418" s="95" t="s">
        <v>45</v>
      </c>
      <c r="B418" s="88" t="s">
        <v>32</v>
      </c>
      <c r="C418" s="89" t="s">
        <v>1186</v>
      </c>
      <c r="D418" s="91" t="s">
        <v>76</v>
      </c>
      <c r="E418" s="778">
        <v>0</v>
      </c>
      <c r="F418" s="349">
        <f>AVERAGEA(E418:E418)</f>
        <v>0</v>
      </c>
      <c r="G418" s="778">
        <v>0</v>
      </c>
      <c r="H418" s="588"/>
    </row>
    <row r="419" spans="1:8" ht="15">
      <c r="A419" s="95" t="s">
        <v>46</v>
      </c>
      <c r="B419" s="88" t="s">
        <v>289</v>
      </c>
      <c r="C419" s="89" t="s">
        <v>1186</v>
      </c>
      <c r="D419" s="91" t="s">
        <v>76</v>
      </c>
      <c r="E419" s="778">
        <v>0</v>
      </c>
      <c r="F419" s="349">
        <f>AVERAGEA(E419:E419)</f>
        <v>0</v>
      </c>
      <c r="G419" s="778">
        <v>0</v>
      </c>
      <c r="H419" s="588"/>
    </row>
    <row r="420" spans="1:8" ht="15">
      <c r="A420" s="95" t="s">
        <v>47</v>
      </c>
      <c r="B420" s="88" t="s">
        <v>290</v>
      </c>
      <c r="C420" s="89" t="s">
        <v>1186</v>
      </c>
      <c r="D420" s="91" t="s">
        <v>76</v>
      </c>
      <c r="E420" s="778">
        <v>0</v>
      </c>
      <c r="F420" s="349">
        <f>AVERAGEA(E420:E420)</f>
        <v>0</v>
      </c>
      <c r="G420" s="778">
        <v>0</v>
      </c>
      <c r="H420" s="588"/>
    </row>
    <row r="421" spans="1:8" ht="15.75" thickBot="1">
      <c r="A421" s="433" t="s">
        <v>48</v>
      </c>
      <c r="B421" s="434" t="s">
        <v>30</v>
      </c>
      <c r="C421" s="89" t="s">
        <v>1186</v>
      </c>
      <c r="D421" s="449" t="s">
        <v>76</v>
      </c>
      <c r="E421" s="778">
        <v>0</v>
      </c>
      <c r="F421" s="349">
        <f>AVERAGEA(E421:E421)</f>
        <v>0</v>
      </c>
      <c r="G421" s="778">
        <v>0</v>
      </c>
      <c r="H421" s="589"/>
    </row>
    <row r="422" spans="1:8" ht="15.75" thickBot="1">
      <c r="A422" s="39" t="s">
        <v>49</v>
      </c>
      <c r="B422" s="40" t="s">
        <v>71</v>
      </c>
      <c r="C422" s="53" t="s">
        <v>1099</v>
      </c>
      <c r="D422" s="39" t="s">
        <v>76</v>
      </c>
      <c r="E422" s="39">
        <f>E419+E420+E421</f>
        <v>0</v>
      </c>
      <c r="F422" s="41">
        <f>F419+F420+F421</f>
        <v>0</v>
      </c>
      <c r="G422" s="39">
        <f>G419+G420+G421</f>
        <v>0</v>
      </c>
      <c r="H422" s="42"/>
    </row>
    <row r="423" spans="1:8" ht="29.25" customHeight="1" thickBot="1">
      <c r="A423" s="39" t="s">
        <v>50</v>
      </c>
      <c r="B423" s="51" t="s">
        <v>322</v>
      </c>
      <c r="C423" s="53" t="s">
        <v>1100</v>
      </c>
      <c r="D423" s="39" t="s">
        <v>231</v>
      </c>
      <c r="E423" s="39">
        <f>(E419)*E417/1000</f>
        <v>0</v>
      </c>
      <c r="F423" s="41">
        <f>(F419)*F417/1000</f>
        <v>0</v>
      </c>
      <c r="G423" s="39">
        <f>(G419)*G417/1000</f>
        <v>0</v>
      </c>
      <c r="H423" s="42"/>
    </row>
    <row r="424" spans="1:8" ht="38.25" customHeight="1" thickBot="1">
      <c r="A424" s="39" t="s">
        <v>100</v>
      </c>
      <c r="B424" s="51" t="s">
        <v>323</v>
      </c>
      <c r="C424" s="53" t="s">
        <v>315</v>
      </c>
      <c r="D424" s="39" t="s">
        <v>231</v>
      </c>
      <c r="E424" s="39">
        <f>E420*E417/1000</f>
        <v>0</v>
      </c>
      <c r="F424" s="41">
        <f>F420*F417/1000</f>
        <v>0</v>
      </c>
      <c r="G424" s="39">
        <f>G420*G417/1000</f>
        <v>0</v>
      </c>
      <c r="H424" s="42"/>
    </row>
    <row r="425" spans="1:8" ht="15">
      <c r="A425" s="39" t="s">
        <v>101</v>
      </c>
      <c r="B425" s="40" t="s">
        <v>288</v>
      </c>
      <c r="C425" s="53" t="s">
        <v>1101</v>
      </c>
      <c r="D425" s="39" t="s">
        <v>231</v>
      </c>
      <c r="E425" s="39">
        <f>E421*E417/1000</f>
        <v>0</v>
      </c>
      <c r="F425" s="41">
        <f>F421*F417/1000</f>
        <v>0</v>
      </c>
      <c r="G425" s="39">
        <f>G421*G417/1000</f>
        <v>0</v>
      </c>
      <c r="H425" s="42"/>
    </row>
    <row r="426" spans="1:8" ht="15">
      <c r="A426" s="477"/>
      <c r="B426" s="478"/>
      <c r="C426" s="479"/>
      <c r="D426" s="438"/>
      <c r="E426" s="438"/>
      <c r="F426" s="331"/>
      <c r="G426" s="48"/>
      <c r="H426" s="591"/>
    </row>
    <row r="427" spans="1:8" ht="15">
      <c r="A427" s="452" t="s">
        <v>219</v>
      </c>
      <c r="B427" s="453" t="s">
        <v>15</v>
      </c>
      <c r="C427" s="481"/>
      <c r="D427" s="448"/>
      <c r="E427" s="448"/>
      <c r="F427" s="318"/>
      <c r="G427" s="385"/>
      <c r="H427" s="594"/>
    </row>
    <row r="428" spans="1:8" ht="15">
      <c r="A428" s="95" t="s">
        <v>43</v>
      </c>
      <c r="B428" s="88" t="s">
        <v>878</v>
      </c>
      <c r="C428" s="469" t="s">
        <v>877</v>
      </c>
      <c r="D428" s="91" t="s">
        <v>876</v>
      </c>
      <c r="E428" s="878"/>
      <c r="F428" s="349">
        <f>_xlfn.IFERROR(_xlfn.AVERAGEIF(E428:E428,"&gt;0",E428:E428),0)</f>
        <v>0</v>
      </c>
      <c r="G428" s="880"/>
      <c r="H428" s="880"/>
    </row>
    <row r="429" spans="1:8" ht="15">
      <c r="A429" s="95" t="s">
        <v>44</v>
      </c>
      <c r="B429" s="88" t="s">
        <v>28</v>
      </c>
      <c r="C429" s="89" t="s">
        <v>1075</v>
      </c>
      <c r="D429" s="91" t="s">
        <v>324</v>
      </c>
      <c r="E429" s="878"/>
      <c r="F429" s="349">
        <f>_xlfn.IFERROR(_xlfn.AVERAGEIF(E429:E429,"&gt;0",E429:E429),0)</f>
        <v>0</v>
      </c>
      <c r="G429" s="880"/>
      <c r="H429" s="880"/>
    </row>
    <row r="430" spans="1:8" ht="15">
      <c r="A430" s="95" t="s">
        <v>45</v>
      </c>
      <c r="B430" s="88" t="s">
        <v>32</v>
      </c>
      <c r="C430" s="89" t="s">
        <v>1186</v>
      </c>
      <c r="D430" s="91" t="s">
        <v>113</v>
      </c>
      <c r="E430" s="878">
        <v>0</v>
      </c>
      <c r="F430" s="349">
        <f>AVERAGEA(E430:E430)</f>
        <v>0</v>
      </c>
      <c r="G430" s="880"/>
      <c r="H430" s="880"/>
    </row>
    <row r="431" spans="1:8" ht="15">
      <c r="A431" s="95" t="s">
        <v>46</v>
      </c>
      <c r="B431" s="88" t="s">
        <v>33</v>
      </c>
      <c r="C431" s="89" t="s">
        <v>1186</v>
      </c>
      <c r="D431" s="91" t="s">
        <v>66</v>
      </c>
      <c r="E431" s="878"/>
      <c r="F431" s="349">
        <f>_xlfn.IFERROR(_xlfn.AVERAGEIF(E431:E431,"&gt;0",E431:E431),0)</f>
        <v>0</v>
      </c>
      <c r="G431" s="880"/>
      <c r="H431" s="880"/>
    </row>
    <row r="432" spans="1:8" ht="15">
      <c r="A432" s="95" t="s">
        <v>47</v>
      </c>
      <c r="B432" s="88" t="s">
        <v>289</v>
      </c>
      <c r="C432" s="89" t="s">
        <v>1186</v>
      </c>
      <c r="D432" s="91" t="s">
        <v>113</v>
      </c>
      <c r="E432" s="878">
        <v>0</v>
      </c>
      <c r="F432" s="349">
        <f>AVERAGEA(E432:E432)</f>
        <v>0</v>
      </c>
      <c r="G432" s="880"/>
      <c r="H432" s="880"/>
    </row>
    <row r="433" spans="1:8" ht="15">
      <c r="A433" s="95" t="s">
        <v>48</v>
      </c>
      <c r="B433" s="88" t="s">
        <v>290</v>
      </c>
      <c r="C433" s="89" t="s">
        <v>1186</v>
      </c>
      <c r="D433" s="91" t="s">
        <v>113</v>
      </c>
      <c r="E433" s="878">
        <v>0</v>
      </c>
      <c r="F433" s="349">
        <f>AVERAGEA(E433:E433)</f>
        <v>0</v>
      </c>
      <c r="G433" s="880"/>
      <c r="H433" s="880"/>
    </row>
    <row r="434" spans="1:8" ht="45">
      <c r="A434" s="95" t="s">
        <v>49</v>
      </c>
      <c r="B434" s="88" t="s">
        <v>1395</v>
      </c>
      <c r="C434" s="89" t="s">
        <v>1186</v>
      </c>
      <c r="D434" s="91" t="s">
        <v>113</v>
      </c>
      <c r="E434" s="878">
        <v>0</v>
      </c>
      <c r="F434" s="349">
        <f>AVERAGEA(E434:E434)</f>
        <v>0</v>
      </c>
      <c r="G434" s="886"/>
      <c r="H434" s="891"/>
    </row>
    <row r="435" spans="1:8" ht="15.75" thickBot="1">
      <c r="A435" s="433" t="s">
        <v>50</v>
      </c>
      <c r="B435" s="434" t="s">
        <v>30</v>
      </c>
      <c r="C435" s="89" t="s">
        <v>1186</v>
      </c>
      <c r="D435" s="449" t="s">
        <v>113</v>
      </c>
      <c r="E435" s="878">
        <v>0</v>
      </c>
      <c r="F435" s="349">
        <f>AVERAGEA(E435:E435)</f>
        <v>0</v>
      </c>
      <c r="G435" s="880"/>
      <c r="H435" s="880"/>
    </row>
    <row r="436" spans="1:8" ht="15.75" thickBot="1">
      <c r="A436" s="39" t="s">
        <v>100</v>
      </c>
      <c r="B436" s="40" t="s">
        <v>72</v>
      </c>
      <c r="C436" s="53" t="s">
        <v>1102</v>
      </c>
      <c r="D436" s="39" t="s">
        <v>76</v>
      </c>
      <c r="E436" s="39">
        <f>(E432+E433+E435)*E431</f>
        <v>0</v>
      </c>
      <c r="F436" s="41">
        <f>(F432+F433+F435)*F431</f>
        <v>0</v>
      </c>
      <c r="G436" s="39">
        <f>(G432+G433+G435)*G431</f>
        <v>0</v>
      </c>
      <c r="H436" s="42"/>
    </row>
    <row r="437" spans="1:8" ht="29.25" customHeight="1" thickBot="1">
      <c r="A437" s="39" t="s">
        <v>101</v>
      </c>
      <c r="B437" s="51" t="s">
        <v>322</v>
      </c>
      <c r="C437" s="53" t="s">
        <v>1097</v>
      </c>
      <c r="D437" s="39" t="s">
        <v>231</v>
      </c>
      <c r="E437" s="39">
        <f>E432*E431*E429/1000</f>
        <v>0</v>
      </c>
      <c r="F437" s="41">
        <f>F432*F431*F429/1000</f>
        <v>0</v>
      </c>
      <c r="G437" s="39">
        <f>G432*G431*G429/1000</f>
        <v>0</v>
      </c>
      <c r="H437" s="42"/>
    </row>
    <row r="438" spans="1:8" ht="51" customHeight="1" thickBot="1">
      <c r="A438" s="39" t="s">
        <v>102</v>
      </c>
      <c r="B438" s="51" t="s">
        <v>1398</v>
      </c>
      <c r="C438" s="53" t="s">
        <v>1399</v>
      </c>
      <c r="D438" s="39" t="s">
        <v>231</v>
      </c>
      <c r="E438" s="39">
        <f>E434*E431*E429/1000</f>
        <v>0</v>
      </c>
      <c r="F438" s="41">
        <f>F434*F431*F429/1000</f>
        <v>0</v>
      </c>
      <c r="G438" s="39">
        <f>G434*G431*G429/1000</f>
        <v>0</v>
      </c>
      <c r="H438" s="42"/>
    </row>
    <row r="439" spans="1:8" ht="30.75" customHeight="1" thickBot="1">
      <c r="A439" s="39" t="s">
        <v>880</v>
      </c>
      <c r="B439" s="51" t="s">
        <v>323</v>
      </c>
      <c r="C439" s="53" t="s">
        <v>1098</v>
      </c>
      <c r="D439" s="39" t="s">
        <v>231</v>
      </c>
      <c r="E439" s="39">
        <f>E433*E431*E429/1000</f>
        <v>0</v>
      </c>
      <c r="F439" s="41">
        <f>F433*F431*F429/1000</f>
        <v>0</v>
      </c>
      <c r="G439" s="39">
        <f>G433*G431*G429/1000</f>
        <v>0</v>
      </c>
      <c r="H439" s="42"/>
    </row>
    <row r="440" spans="1:8" ht="15">
      <c r="A440" s="39" t="s">
        <v>1143</v>
      </c>
      <c r="B440" s="40" t="s">
        <v>288</v>
      </c>
      <c r="C440" s="53" t="s">
        <v>1103</v>
      </c>
      <c r="D440" s="39" t="s">
        <v>231</v>
      </c>
      <c r="E440" s="39">
        <f>E435*E431*E429/1000</f>
        <v>0</v>
      </c>
      <c r="F440" s="41">
        <f>F435*F431*F429/1000</f>
        <v>0</v>
      </c>
      <c r="G440" s="39">
        <f>G435*G431*G429/1000</f>
        <v>0</v>
      </c>
      <c r="H440" s="42"/>
    </row>
    <row r="441" spans="1:8" ht="15">
      <c r="A441" s="112"/>
      <c r="B441" s="436"/>
      <c r="C441" s="437"/>
      <c r="D441" s="438"/>
      <c r="E441" s="438"/>
      <c r="F441" s="329"/>
      <c r="G441" s="287"/>
      <c r="H441" s="596"/>
    </row>
    <row r="442" spans="1:8" ht="15">
      <c r="A442" s="452" t="s">
        <v>220</v>
      </c>
      <c r="B442" s="453" t="s">
        <v>16</v>
      </c>
      <c r="C442" s="481"/>
      <c r="D442" s="448"/>
      <c r="E442" s="448"/>
      <c r="F442" s="318"/>
      <c r="G442" s="385"/>
      <c r="H442" s="594"/>
    </row>
    <row r="443" spans="1:8" ht="15">
      <c r="A443" s="95" t="s">
        <v>43</v>
      </c>
      <c r="B443" s="88" t="s">
        <v>878</v>
      </c>
      <c r="C443" s="469" t="s">
        <v>877</v>
      </c>
      <c r="D443" s="91" t="s">
        <v>876</v>
      </c>
      <c r="E443" s="900"/>
      <c r="F443" s="349">
        <f>_xlfn.IFERROR(_xlfn.AVERAGEIF(E443:E443,"&gt;0",E443:E443),0)</f>
        <v>0</v>
      </c>
      <c r="G443" s="778">
        <v>0</v>
      </c>
      <c r="H443" s="588"/>
    </row>
    <row r="444" spans="1:8" ht="15">
      <c r="A444" s="95" t="s">
        <v>44</v>
      </c>
      <c r="B444" s="88" t="s">
        <v>28</v>
      </c>
      <c r="C444" s="89" t="s">
        <v>1075</v>
      </c>
      <c r="D444" s="91" t="s">
        <v>324</v>
      </c>
      <c r="E444" s="900"/>
      <c r="F444" s="349">
        <f>_xlfn.IFERROR(_xlfn.AVERAGEIF(E444:E444,"&gt;0",E444:E444),0)</f>
        <v>0</v>
      </c>
      <c r="G444" s="778">
        <v>0</v>
      </c>
      <c r="H444" s="588"/>
    </row>
    <row r="445" spans="1:8" ht="15">
      <c r="A445" s="95" t="s">
        <v>45</v>
      </c>
      <c r="B445" s="88" t="s">
        <v>32</v>
      </c>
      <c r="C445" s="89" t="s">
        <v>1186</v>
      </c>
      <c r="D445" s="91" t="s">
        <v>113</v>
      </c>
      <c r="E445" s="778">
        <v>0</v>
      </c>
      <c r="F445" s="349">
        <f>AVERAGEA(E445:E445)</f>
        <v>0</v>
      </c>
      <c r="G445" s="778">
        <v>0</v>
      </c>
      <c r="H445" s="588"/>
    </row>
    <row r="446" spans="1:8" ht="15">
      <c r="A446" s="95" t="s">
        <v>46</v>
      </c>
      <c r="B446" s="88" t="s">
        <v>33</v>
      </c>
      <c r="C446" s="89" t="s">
        <v>1186</v>
      </c>
      <c r="D446" s="91" t="s">
        <v>66</v>
      </c>
      <c r="E446" s="900"/>
      <c r="F446" s="349">
        <f>_xlfn.IFERROR(_xlfn.AVERAGEIF(E446:E446,"&gt;0",E446:E446),0)</f>
        <v>0</v>
      </c>
      <c r="G446" s="778">
        <v>0</v>
      </c>
      <c r="H446" s="588"/>
    </row>
    <row r="447" spans="1:8" ht="15">
      <c r="A447" s="95" t="s">
        <v>47</v>
      </c>
      <c r="B447" s="88" t="s">
        <v>289</v>
      </c>
      <c r="C447" s="89" t="s">
        <v>1186</v>
      </c>
      <c r="D447" s="91" t="s">
        <v>113</v>
      </c>
      <c r="E447" s="778">
        <v>0</v>
      </c>
      <c r="F447" s="349">
        <f>AVERAGEA(E447:E447)</f>
        <v>0</v>
      </c>
      <c r="G447" s="778">
        <v>0</v>
      </c>
      <c r="H447" s="588"/>
    </row>
    <row r="448" spans="1:8" ht="15">
      <c r="A448" s="95" t="s">
        <v>48</v>
      </c>
      <c r="B448" s="88" t="s">
        <v>290</v>
      </c>
      <c r="C448" s="89" t="s">
        <v>1186</v>
      </c>
      <c r="D448" s="91" t="s">
        <v>113</v>
      </c>
      <c r="E448" s="778">
        <v>0</v>
      </c>
      <c r="F448" s="349">
        <f>AVERAGEA(E448:E448)</f>
        <v>0</v>
      </c>
      <c r="G448" s="778">
        <v>0</v>
      </c>
      <c r="H448" s="588"/>
    </row>
    <row r="449" spans="1:8" ht="15">
      <c r="A449" s="95" t="s">
        <v>49</v>
      </c>
      <c r="B449" s="88" t="s">
        <v>1396</v>
      </c>
      <c r="C449" s="89" t="s">
        <v>1186</v>
      </c>
      <c r="D449" s="91" t="s">
        <v>113</v>
      </c>
      <c r="E449" s="778">
        <v>0</v>
      </c>
      <c r="F449" s="349">
        <f>AVERAGEA(E449:E449)</f>
        <v>0</v>
      </c>
      <c r="G449" s="778">
        <v>0</v>
      </c>
      <c r="H449" s="588"/>
    </row>
    <row r="450" spans="1:8" ht="15.75" thickBot="1">
      <c r="A450" s="433" t="s">
        <v>50</v>
      </c>
      <c r="B450" s="434" t="s">
        <v>30</v>
      </c>
      <c r="C450" s="89" t="s">
        <v>1186</v>
      </c>
      <c r="D450" s="449" t="s">
        <v>113</v>
      </c>
      <c r="E450" s="778">
        <v>0</v>
      </c>
      <c r="F450" s="349">
        <f>AVERAGEA(E450:E450)</f>
        <v>0</v>
      </c>
      <c r="G450" s="778">
        <v>0</v>
      </c>
      <c r="H450" s="588"/>
    </row>
    <row r="451" spans="1:8" ht="15.75" thickBot="1">
      <c r="A451" s="39" t="s">
        <v>100</v>
      </c>
      <c r="B451" s="40" t="s">
        <v>73</v>
      </c>
      <c r="C451" s="53" t="s">
        <v>1102</v>
      </c>
      <c r="D451" s="39" t="s">
        <v>76</v>
      </c>
      <c r="E451" s="39">
        <f>(E447+E448+E450)*E446</f>
        <v>0</v>
      </c>
      <c r="F451" s="41">
        <f>(F447+F448+F450)*F446</f>
        <v>0</v>
      </c>
      <c r="G451" s="39">
        <f>(G447+G448+G450)*G446</f>
        <v>0</v>
      </c>
      <c r="H451" s="42"/>
    </row>
    <row r="452" spans="1:8" ht="31.5" customHeight="1" thickBot="1">
      <c r="A452" s="39" t="s">
        <v>101</v>
      </c>
      <c r="B452" s="51" t="s">
        <v>322</v>
      </c>
      <c r="C452" s="53" t="s">
        <v>1097</v>
      </c>
      <c r="D452" s="39" t="s">
        <v>231</v>
      </c>
      <c r="E452" s="39">
        <f>E447*E446*E444/1000</f>
        <v>0</v>
      </c>
      <c r="F452" s="41">
        <f>F447*F446*F444/1000</f>
        <v>0</v>
      </c>
      <c r="G452" s="39">
        <f>G447*G446*G444/1000</f>
        <v>0</v>
      </c>
      <c r="H452" s="42"/>
    </row>
    <row r="453" spans="1:8" ht="51" customHeight="1" thickBot="1">
      <c r="A453" s="39" t="s">
        <v>102</v>
      </c>
      <c r="B453" s="51" t="s">
        <v>1398</v>
      </c>
      <c r="C453" s="53" t="s">
        <v>1399</v>
      </c>
      <c r="D453" s="39" t="s">
        <v>231</v>
      </c>
      <c r="E453" s="39">
        <f>E449*E446*E444/1000</f>
        <v>0</v>
      </c>
      <c r="F453" s="41">
        <f>F449*F446*F444/1000</f>
        <v>0</v>
      </c>
      <c r="G453" s="39">
        <f>G449*G446*G444/1000</f>
        <v>0</v>
      </c>
      <c r="H453" s="42"/>
    </row>
    <row r="454" spans="1:8" ht="33" customHeight="1" thickBot="1">
      <c r="A454" s="39" t="s">
        <v>880</v>
      </c>
      <c r="B454" s="636" t="s">
        <v>323</v>
      </c>
      <c r="C454" s="53" t="s">
        <v>1098</v>
      </c>
      <c r="D454" s="39" t="s">
        <v>231</v>
      </c>
      <c r="E454" s="39">
        <f>E448*E446*E444/1000</f>
        <v>0</v>
      </c>
      <c r="F454" s="41">
        <f>F448*F446*F444/1000</f>
        <v>0</v>
      </c>
      <c r="G454" s="39">
        <f>G448*G446*G444/1000</f>
        <v>0</v>
      </c>
      <c r="H454" s="42"/>
    </row>
    <row r="455" spans="1:8" ht="15">
      <c r="A455" s="39" t="s">
        <v>1143</v>
      </c>
      <c r="B455" s="40" t="s">
        <v>288</v>
      </c>
      <c r="C455" s="53" t="s">
        <v>1103</v>
      </c>
      <c r="D455" s="39" t="s">
        <v>231</v>
      </c>
      <c r="E455" s="39">
        <f>E450*E446*E444/1000</f>
        <v>0</v>
      </c>
      <c r="F455" s="41">
        <f>F450*F446*F444/1000</f>
        <v>0</v>
      </c>
      <c r="G455" s="39">
        <f>G450*G446*G444/1000</f>
        <v>0</v>
      </c>
      <c r="H455" s="42"/>
    </row>
    <row r="456" spans="1:8" ht="15">
      <c r="A456" s="112"/>
      <c r="B456" s="436"/>
      <c r="C456" s="437"/>
      <c r="D456" s="437"/>
      <c r="E456" s="437"/>
      <c r="F456" s="329"/>
      <c r="G456" s="287"/>
      <c r="H456" s="596"/>
    </row>
    <row r="457" spans="1:8" ht="43.5" customHeight="1">
      <c r="A457" s="523" t="s">
        <v>221</v>
      </c>
      <c r="B457" s="453" t="s">
        <v>116</v>
      </c>
      <c r="C457" s="989" t="s">
        <v>262</v>
      </c>
      <c r="D457" s="989"/>
      <c r="E457" s="763"/>
      <c r="F457" s="318"/>
      <c r="G457" s="319"/>
      <c r="H457" s="319"/>
    </row>
    <row r="458" spans="1:8" ht="14.25" customHeight="1">
      <c r="A458" s="95" t="s">
        <v>43</v>
      </c>
      <c r="B458" s="88" t="s">
        <v>878</v>
      </c>
      <c r="C458" s="469" t="s">
        <v>877</v>
      </c>
      <c r="D458" s="91" t="s">
        <v>876</v>
      </c>
      <c r="E458" s="779"/>
      <c r="F458" s="349">
        <f>_xlfn.IFERROR(_xlfn.AVERAGEIF(E458:E458,"&gt;0",E458:E458),0)</f>
        <v>0</v>
      </c>
      <c r="G458" s="878"/>
      <c r="H458" s="880"/>
    </row>
    <row r="459" spans="1:8" ht="15">
      <c r="A459" s="95" t="s">
        <v>44</v>
      </c>
      <c r="B459" s="88" t="s">
        <v>28</v>
      </c>
      <c r="C459" s="89" t="s">
        <v>1075</v>
      </c>
      <c r="D459" s="91" t="s">
        <v>324</v>
      </c>
      <c r="E459" s="902"/>
      <c r="F459" s="349">
        <f>_xlfn.IFERROR(_xlfn.AVERAGEIF(E459:E459,"&gt;0",E459:E459),0)</f>
        <v>0</v>
      </c>
      <c r="G459" s="880"/>
      <c r="H459" s="880"/>
    </row>
    <row r="460" spans="1:8" ht="15">
      <c r="A460" s="95" t="s">
        <v>45</v>
      </c>
      <c r="B460" s="88" t="s">
        <v>32</v>
      </c>
      <c r="C460" s="89" t="s">
        <v>1186</v>
      </c>
      <c r="D460" s="91" t="s">
        <v>113</v>
      </c>
      <c r="E460" s="779"/>
      <c r="F460" s="349" t="e">
        <f>AVERAGEA(E460:E460)</f>
        <v>#DIV/0!</v>
      </c>
      <c r="G460" s="878"/>
      <c r="H460" s="880"/>
    </row>
    <row r="461" spans="1:8" ht="15">
      <c r="A461" s="95" t="s">
        <v>46</v>
      </c>
      <c r="B461" s="88" t="s">
        <v>33</v>
      </c>
      <c r="C461" s="89" t="s">
        <v>1186</v>
      </c>
      <c r="D461" s="91" t="s">
        <v>66</v>
      </c>
      <c r="E461" s="779"/>
      <c r="F461" s="349">
        <f>_xlfn.IFERROR(_xlfn.AVERAGEIF(E461:E461,"&gt;0",E461:E461),0)</f>
        <v>0</v>
      </c>
      <c r="G461" s="880"/>
      <c r="H461" s="880"/>
    </row>
    <row r="462" spans="1:8" ht="15">
      <c r="A462" s="95" t="s">
        <v>47</v>
      </c>
      <c r="B462" s="88" t="s">
        <v>289</v>
      </c>
      <c r="C462" s="89" t="s">
        <v>1186</v>
      </c>
      <c r="D462" s="91" t="s">
        <v>113</v>
      </c>
      <c r="E462" s="779"/>
      <c r="F462" s="349" t="e">
        <f>AVERAGEA(E462:E462)</f>
        <v>#DIV/0!</v>
      </c>
      <c r="G462" s="878"/>
      <c r="H462" s="880"/>
    </row>
    <row r="463" spans="1:8" ht="15">
      <c r="A463" s="95" t="s">
        <v>48</v>
      </c>
      <c r="B463" s="88" t="s">
        <v>290</v>
      </c>
      <c r="C463" s="89" t="s">
        <v>1186</v>
      </c>
      <c r="D463" s="91" t="s">
        <v>113</v>
      </c>
      <c r="E463" s="779"/>
      <c r="F463" s="349" t="e">
        <f>AVERAGEA(E463:E463)</f>
        <v>#DIV/0!</v>
      </c>
      <c r="G463" s="880"/>
      <c r="H463" s="880"/>
    </row>
    <row r="464" spans="1:8" ht="15.75" thickBot="1">
      <c r="A464" s="433" t="s">
        <v>49</v>
      </c>
      <c r="B464" s="434" t="s">
        <v>286</v>
      </c>
      <c r="C464" s="89" t="s">
        <v>1186</v>
      </c>
      <c r="D464" s="449" t="s">
        <v>113</v>
      </c>
      <c r="E464" s="903"/>
      <c r="F464" s="349" t="e">
        <f>AVERAGEA(E464:E464)</f>
        <v>#DIV/0!</v>
      </c>
      <c r="G464" s="880"/>
      <c r="H464" s="880"/>
    </row>
    <row r="465" spans="1:8" ht="15.75" thickBot="1">
      <c r="A465" s="39" t="s">
        <v>50</v>
      </c>
      <c r="B465" s="40" t="s">
        <v>263</v>
      </c>
      <c r="C465" s="53" t="s">
        <v>1104</v>
      </c>
      <c r="D465" s="39" t="s">
        <v>76</v>
      </c>
      <c r="E465" s="39">
        <f>(E462+E463+E464)*E461</f>
        <v>0</v>
      </c>
      <c r="F465" s="41" t="e">
        <f>(F462+F463+F464)*F461</f>
        <v>#DIV/0!</v>
      </c>
      <c r="G465" s="39">
        <f>(G462+G463+G464)*G461</f>
        <v>0</v>
      </c>
      <c r="H465" s="42"/>
    </row>
    <row r="466" spans="1:8" ht="41.25" customHeight="1" thickBot="1">
      <c r="A466" s="39" t="s">
        <v>100</v>
      </c>
      <c r="B466" s="51" t="s">
        <v>322</v>
      </c>
      <c r="C466" s="53" t="s">
        <v>1105</v>
      </c>
      <c r="D466" s="39" t="s">
        <v>231</v>
      </c>
      <c r="E466" s="39">
        <f>E462*E461*E459/1000</f>
        <v>0</v>
      </c>
      <c r="F466" s="41" t="e">
        <f>F462*F461*F459/1000</f>
        <v>#DIV/0!</v>
      </c>
      <c r="G466" s="39">
        <f>G462*G461*G459/1000</f>
        <v>0</v>
      </c>
      <c r="H466" s="42"/>
    </row>
    <row r="467" spans="1:8" ht="36" customHeight="1" thickBot="1">
      <c r="A467" s="39" t="s">
        <v>101</v>
      </c>
      <c r="B467" s="51" t="s">
        <v>323</v>
      </c>
      <c r="C467" s="53" t="s">
        <v>1106</v>
      </c>
      <c r="D467" s="39" t="s">
        <v>231</v>
      </c>
      <c r="E467" s="39">
        <f>E463*E461*E459/1000</f>
        <v>0</v>
      </c>
      <c r="F467" s="41" t="e">
        <f>F463*F461*F459/1000</f>
        <v>#DIV/0!</v>
      </c>
      <c r="G467" s="39">
        <f>G463*G461*G459/1000</f>
        <v>0</v>
      </c>
      <c r="H467" s="42"/>
    </row>
    <row r="468" spans="1:8" ht="15.75" thickBot="1">
      <c r="A468" s="39" t="s">
        <v>102</v>
      </c>
      <c r="B468" s="40" t="s">
        <v>288</v>
      </c>
      <c r="C468" s="53" t="s">
        <v>1105</v>
      </c>
      <c r="D468" s="39" t="s">
        <v>231</v>
      </c>
      <c r="E468" s="39">
        <f>E464*E461*E459/1000</f>
        <v>0</v>
      </c>
      <c r="F468" s="41" t="e">
        <f>F464*F461*F459/1000</f>
        <v>#DIV/0!</v>
      </c>
      <c r="G468" s="39">
        <f>G464*G461*G459/1000</f>
        <v>0</v>
      </c>
      <c r="H468" s="42"/>
    </row>
    <row r="469" spans="1:8" ht="54.75" customHeight="1" thickBot="1">
      <c r="A469" s="39" t="s">
        <v>258</v>
      </c>
      <c r="B469" s="51" t="s">
        <v>326</v>
      </c>
      <c r="C469" s="53" t="s">
        <v>1401</v>
      </c>
      <c r="D469" s="39" t="s">
        <v>231</v>
      </c>
      <c r="E469" s="39">
        <f>IF(E128="Yes",E452+E437+E423+E411+E399+E466,E452+E437+E423+E411+E399)</f>
        <v>0</v>
      </c>
      <c r="F469" s="41" t="e">
        <f>IF(F128="Yes",F452+F437+F423+F411+F399+F466,F452+F437+F423+F411+F399)</f>
        <v>#DIV/0!</v>
      </c>
      <c r="G469" s="39">
        <f>G452+G437+G423+G411+G399+G466</f>
        <v>0</v>
      </c>
      <c r="H469" s="42"/>
    </row>
    <row r="470" spans="1:8" ht="48.75" customHeight="1" thickBot="1">
      <c r="A470" s="39" t="s">
        <v>321</v>
      </c>
      <c r="B470" s="51" t="s">
        <v>327</v>
      </c>
      <c r="C470" s="53" t="s">
        <v>1402</v>
      </c>
      <c r="D470" s="39" t="s">
        <v>231</v>
      </c>
      <c r="E470" s="39">
        <f>IF(E216="Yes",E454+E439+E424+E412+E400+E467,E454+E439+E424+E412+E400)</f>
        <v>0</v>
      </c>
      <c r="F470" s="41" t="e">
        <f>IF(F216="Yes",F454+F439+F424+F412+F400+F467,F454+F439+F424+F412+F400)</f>
        <v>#DIV/0!</v>
      </c>
      <c r="G470" s="39">
        <f>IF(G216="Yes",G454+G439+G424+G412+G400+G467,G454+G439+G424+G412+G400)</f>
        <v>0</v>
      </c>
      <c r="H470" s="42"/>
    </row>
    <row r="471" spans="1:8" ht="47.25" customHeight="1">
      <c r="A471" s="39" t="s">
        <v>325</v>
      </c>
      <c r="B471" s="40" t="s">
        <v>291</v>
      </c>
      <c r="C471" s="53" t="s">
        <v>1403</v>
      </c>
      <c r="D471" s="39" t="s">
        <v>231</v>
      </c>
      <c r="E471" s="39">
        <f>E455+E440+E425+E413+E401+E453+E438</f>
        <v>0</v>
      </c>
      <c r="F471" s="39" t="e">
        <f>F455+F440+F425+F413+F401+F453+F438</f>
        <v>#DIV/0!</v>
      </c>
      <c r="G471" s="39">
        <f>G455+G440+G425+G413+G401+G453+G438</f>
        <v>0</v>
      </c>
      <c r="H471" s="42"/>
    </row>
    <row r="472" spans="1:8" ht="13.5" customHeight="1">
      <c r="A472" s="519"/>
      <c r="B472" s="56"/>
      <c r="C472" s="301"/>
      <c r="D472" s="55"/>
      <c r="E472" s="55"/>
      <c r="F472" s="334"/>
      <c r="G472" s="55"/>
      <c r="H472" s="520"/>
    </row>
    <row r="473" spans="1:8" ht="15">
      <c r="A473" s="471" t="s">
        <v>40</v>
      </c>
      <c r="B473" s="472" t="s">
        <v>17</v>
      </c>
      <c r="C473" s="473"/>
      <c r="D473" s="474"/>
      <c r="E473" s="474"/>
      <c r="F473" s="340"/>
      <c r="G473" s="262"/>
      <c r="H473" s="600"/>
    </row>
    <row r="474" spans="1:8" ht="15">
      <c r="A474" s="452" t="s">
        <v>41</v>
      </c>
      <c r="B474" s="453" t="s">
        <v>743</v>
      </c>
      <c r="C474" s="481"/>
      <c r="D474" s="448"/>
      <c r="E474" s="448"/>
      <c r="F474" s="318"/>
      <c r="G474" s="385"/>
      <c r="H474" s="594"/>
    </row>
    <row r="475" spans="1:8" ht="15">
      <c r="A475" s="95" t="s">
        <v>43</v>
      </c>
      <c r="B475" s="88" t="s">
        <v>878</v>
      </c>
      <c r="C475" s="469" t="s">
        <v>877</v>
      </c>
      <c r="D475" s="91" t="s">
        <v>879</v>
      </c>
      <c r="E475" s="900"/>
      <c r="F475" s="349">
        <f>_xlfn.IFERROR(_xlfn.AVERAGEIF(E475:E475,"&gt;0",E475:E475),0)</f>
        <v>0</v>
      </c>
      <c r="G475" s="878">
        <v>0</v>
      </c>
      <c r="H475" s="588"/>
    </row>
    <row r="476" spans="1:8" ht="15">
      <c r="A476" s="95" t="s">
        <v>44</v>
      </c>
      <c r="B476" s="88" t="s">
        <v>23</v>
      </c>
      <c r="C476" s="89" t="s">
        <v>1075</v>
      </c>
      <c r="D476" s="91" t="s">
        <v>343</v>
      </c>
      <c r="E476" s="900"/>
      <c r="F476" s="349">
        <f>_xlfn.IFERROR(_xlfn.AVERAGEIF(E476:E476,"&gt;0",E476:E476),0)</f>
        <v>0</v>
      </c>
      <c r="G476" s="878">
        <v>0</v>
      </c>
      <c r="H476" s="588"/>
    </row>
    <row r="477" spans="1:8" ht="15">
      <c r="A477" s="95" t="s">
        <v>45</v>
      </c>
      <c r="B477" s="88" t="s">
        <v>26</v>
      </c>
      <c r="C477" s="89" t="s">
        <v>1186</v>
      </c>
      <c r="D477" s="91" t="s">
        <v>58</v>
      </c>
      <c r="E477" s="778">
        <v>0</v>
      </c>
      <c r="F477" s="349">
        <f>AVERAGEA(E477:E477)</f>
        <v>0</v>
      </c>
      <c r="G477" s="878">
        <v>0</v>
      </c>
      <c r="H477" s="588"/>
    </row>
    <row r="478" spans="1:8" ht="15">
      <c r="A478" s="95" t="s">
        <v>46</v>
      </c>
      <c r="B478" s="88" t="s">
        <v>27</v>
      </c>
      <c r="C478" s="89" t="s">
        <v>1186</v>
      </c>
      <c r="D478" s="91" t="s">
        <v>58</v>
      </c>
      <c r="E478" s="778">
        <v>0</v>
      </c>
      <c r="F478" s="349">
        <f>AVERAGEA(E478:E478)</f>
        <v>0</v>
      </c>
      <c r="G478" s="878">
        <v>0</v>
      </c>
      <c r="H478" s="588"/>
    </row>
    <row r="479" spans="1:8" ht="15">
      <c r="A479" s="95" t="s">
        <v>47</v>
      </c>
      <c r="B479" s="480" t="s">
        <v>1397</v>
      </c>
      <c r="C479" s="89" t="s">
        <v>1186</v>
      </c>
      <c r="D479" s="91" t="s">
        <v>58</v>
      </c>
      <c r="E479" s="778">
        <v>0</v>
      </c>
      <c r="F479" s="349">
        <f>AVERAGEA(E479:E479)</f>
        <v>0</v>
      </c>
      <c r="G479" s="878">
        <v>0</v>
      </c>
      <c r="H479" s="588"/>
    </row>
    <row r="480" spans="1:8" ht="15.75" thickBot="1">
      <c r="A480" s="433" t="s">
        <v>48</v>
      </c>
      <c r="B480" s="434" t="s">
        <v>30</v>
      </c>
      <c r="C480" s="89" t="s">
        <v>1186</v>
      </c>
      <c r="D480" s="449" t="s">
        <v>58</v>
      </c>
      <c r="E480" s="778">
        <v>0</v>
      </c>
      <c r="F480" s="349">
        <f>AVERAGEA(E480:E480)</f>
        <v>0</v>
      </c>
      <c r="G480" s="878">
        <v>0</v>
      </c>
      <c r="H480" s="588"/>
    </row>
    <row r="481" spans="1:8" ht="15.75" thickBot="1">
      <c r="A481" s="39" t="s">
        <v>49</v>
      </c>
      <c r="B481" s="302" t="s">
        <v>74</v>
      </c>
      <c r="C481" s="53" t="s">
        <v>1099</v>
      </c>
      <c r="D481" s="39" t="s">
        <v>58</v>
      </c>
      <c r="E481" s="39">
        <f>E478+E480+E479</f>
        <v>0</v>
      </c>
      <c r="F481" s="41">
        <f>F478+F480+F479</f>
        <v>0</v>
      </c>
      <c r="G481" s="39">
        <f>G478+G480+G479</f>
        <v>0</v>
      </c>
      <c r="H481" s="42"/>
    </row>
    <row r="482" spans="1:8" ht="15.75" thickBot="1">
      <c r="A482" s="39" t="s">
        <v>50</v>
      </c>
      <c r="B482" s="302" t="s">
        <v>287</v>
      </c>
      <c r="C482" s="53" t="s">
        <v>1230</v>
      </c>
      <c r="D482" s="39" t="s">
        <v>231</v>
      </c>
      <c r="E482" s="41">
        <f>E478*E476</f>
        <v>0</v>
      </c>
      <c r="F482" s="41">
        <f>F478*F476</f>
        <v>0</v>
      </c>
      <c r="G482" s="41">
        <f>G478*G476</f>
        <v>0</v>
      </c>
      <c r="H482" s="42"/>
    </row>
    <row r="483" spans="1:8" ht="51" customHeight="1" thickBot="1">
      <c r="A483" s="39" t="s">
        <v>100</v>
      </c>
      <c r="B483" s="51" t="s">
        <v>1398</v>
      </c>
      <c r="C483" s="53" t="s">
        <v>1232</v>
      </c>
      <c r="D483" s="39" t="s">
        <v>231</v>
      </c>
      <c r="E483" s="41">
        <f>E479*E476</f>
        <v>0</v>
      </c>
      <c r="F483" s="41">
        <f>F479*F476</f>
        <v>0</v>
      </c>
      <c r="G483" s="41">
        <f>G479*G476</f>
        <v>0</v>
      </c>
      <c r="H483" s="42"/>
    </row>
    <row r="484" spans="1:8" ht="15">
      <c r="A484" s="39" t="s">
        <v>101</v>
      </c>
      <c r="B484" s="302" t="s">
        <v>288</v>
      </c>
      <c r="C484" s="53" t="s">
        <v>1231</v>
      </c>
      <c r="D484" s="39" t="s">
        <v>231</v>
      </c>
      <c r="E484" s="39">
        <f>E480*E476</f>
        <v>0</v>
      </c>
      <c r="F484" s="39">
        <f>F480*F476</f>
        <v>0</v>
      </c>
      <c r="G484" s="39">
        <f>G480*G476</f>
        <v>0</v>
      </c>
      <c r="H484" s="42"/>
    </row>
    <row r="485" spans="1:8" ht="15">
      <c r="A485" s="112"/>
      <c r="B485" s="436"/>
      <c r="C485" s="437"/>
      <c r="D485" s="438"/>
      <c r="E485" s="438"/>
      <c r="F485" s="329"/>
      <c r="G485" s="287"/>
      <c r="H485" s="596"/>
    </row>
    <row r="486" spans="1:8" ht="15">
      <c r="A486" s="452" t="s">
        <v>56</v>
      </c>
      <c r="B486" s="453" t="s">
        <v>18</v>
      </c>
      <c r="C486" s="481"/>
      <c r="D486" s="482"/>
      <c r="E486" s="482"/>
      <c r="F486" s="313"/>
      <c r="G486" s="312"/>
      <c r="H486" s="602"/>
    </row>
    <row r="487" spans="1:8" ht="15">
      <c r="A487" s="95" t="s">
        <v>43</v>
      </c>
      <c r="B487" s="88" t="s">
        <v>878</v>
      </c>
      <c r="C487" s="469" t="s">
        <v>877</v>
      </c>
      <c r="D487" s="91" t="s">
        <v>876</v>
      </c>
      <c r="E487" s="900"/>
      <c r="F487" s="349">
        <f>_xlfn.IFERROR(_xlfn.AVERAGEIF(E487:E487,"&gt;0",E487:E487),0)</f>
        <v>0</v>
      </c>
      <c r="G487" s="295">
        <v>0</v>
      </c>
      <c r="H487" s="588"/>
    </row>
    <row r="488" spans="1:8" ht="15">
      <c r="A488" s="95" t="s">
        <v>44</v>
      </c>
      <c r="B488" s="88" t="s">
        <v>23</v>
      </c>
      <c r="C488" s="89" t="s">
        <v>1075</v>
      </c>
      <c r="D488" s="91" t="s">
        <v>269</v>
      </c>
      <c r="E488" s="900"/>
      <c r="F488" s="349">
        <f>_xlfn.IFERROR(_xlfn.AVERAGEIF(E488:E488,"&gt;0",E488:E488),0)</f>
        <v>0</v>
      </c>
      <c r="G488" s="778">
        <v>0</v>
      </c>
      <c r="H488" s="588"/>
    </row>
    <row r="489" spans="1:8" ht="15">
      <c r="A489" s="95" t="s">
        <v>45</v>
      </c>
      <c r="B489" s="88" t="s">
        <v>32</v>
      </c>
      <c r="C489" s="89" t="s">
        <v>1186</v>
      </c>
      <c r="D489" s="91" t="s">
        <v>744</v>
      </c>
      <c r="E489" s="778">
        <v>0</v>
      </c>
      <c r="F489" s="349">
        <f>AVERAGEA(E489:E489)</f>
        <v>0</v>
      </c>
      <c r="G489" s="778">
        <v>0</v>
      </c>
      <c r="H489" s="588"/>
    </row>
    <row r="490" spans="1:8" ht="15">
      <c r="A490" s="95" t="s">
        <v>46</v>
      </c>
      <c r="B490" s="88" t="s">
        <v>27</v>
      </c>
      <c r="C490" s="89" t="s">
        <v>1186</v>
      </c>
      <c r="D490" s="91" t="s">
        <v>744</v>
      </c>
      <c r="E490" s="778">
        <v>0</v>
      </c>
      <c r="F490" s="349">
        <f>AVERAGEA(E490:E490)</f>
        <v>0</v>
      </c>
      <c r="G490" s="778">
        <v>0</v>
      </c>
      <c r="H490" s="588"/>
    </row>
    <row r="491" spans="1:8" ht="15.75" thickBot="1">
      <c r="A491" s="433" t="s">
        <v>47</v>
      </c>
      <c r="B491" s="434" t="s">
        <v>30</v>
      </c>
      <c r="C491" s="89" t="s">
        <v>1186</v>
      </c>
      <c r="D491" s="449" t="s">
        <v>744</v>
      </c>
      <c r="E491" s="778">
        <v>0</v>
      </c>
      <c r="F491" s="349">
        <f>AVERAGEA(E491:E491)</f>
        <v>0</v>
      </c>
      <c r="G491" s="778">
        <v>0</v>
      </c>
      <c r="H491" s="588"/>
    </row>
    <row r="492" spans="1:8" ht="15.75" thickBot="1">
      <c r="A492" s="39" t="s">
        <v>48</v>
      </c>
      <c r="B492" s="302" t="s">
        <v>75</v>
      </c>
      <c r="C492" s="53" t="s">
        <v>314</v>
      </c>
      <c r="D492" s="39" t="s">
        <v>744</v>
      </c>
      <c r="E492" s="39">
        <f>E490+E491</f>
        <v>0</v>
      </c>
      <c r="F492" s="41">
        <f>F490+F491</f>
        <v>0</v>
      </c>
      <c r="G492" s="39">
        <f>G490+G491</f>
        <v>0</v>
      </c>
      <c r="H492" s="42"/>
    </row>
    <row r="493" spans="1:8" ht="15.75" thickBot="1">
      <c r="A493" s="39" t="s">
        <v>49</v>
      </c>
      <c r="B493" s="302" t="s">
        <v>287</v>
      </c>
      <c r="C493" s="53" t="s">
        <v>1230</v>
      </c>
      <c r="D493" s="39" t="s">
        <v>231</v>
      </c>
      <c r="E493" s="39">
        <f>E490*E488</f>
        <v>0</v>
      </c>
      <c r="F493" s="39">
        <f>F490*F488</f>
        <v>0</v>
      </c>
      <c r="G493" s="39">
        <f>G490*G488</f>
        <v>0</v>
      </c>
      <c r="H493" s="42"/>
    </row>
    <row r="494" spans="1:8" ht="15.75" thickBot="1">
      <c r="A494" s="39" t="s">
        <v>50</v>
      </c>
      <c r="B494" s="302" t="s">
        <v>288</v>
      </c>
      <c r="C494" s="53" t="s">
        <v>1232</v>
      </c>
      <c r="D494" s="39" t="s">
        <v>231</v>
      </c>
      <c r="E494" s="39">
        <f>E491*E488</f>
        <v>0</v>
      </c>
      <c r="F494" s="39">
        <f>F491*F488</f>
        <v>0</v>
      </c>
      <c r="G494" s="39">
        <f>G491*G488</f>
        <v>0</v>
      </c>
      <c r="H494" s="42"/>
    </row>
    <row r="495" spans="1:8" ht="36.75" customHeight="1" thickBot="1">
      <c r="A495" s="39" t="s">
        <v>119</v>
      </c>
      <c r="B495" s="636" t="s">
        <v>292</v>
      </c>
      <c r="C495" s="53" t="s">
        <v>328</v>
      </c>
      <c r="D495" s="39" t="s">
        <v>231</v>
      </c>
      <c r="E495" s="39">
        <f>E482+E493</f>
        <v>0</v>
      </c>
      <c r="F495" s="41">
        <f>F482+F493</f>
        <v>0</v>
      </c>
      <c r="G495" s="39">
        <f>G482+G493</f>
        <v>0</v>
      </c>
      <c r="H495" s="42"/>
    </row>
    <row r="496" spans="1:8" ht="35.25" customHeight="1">
      <c r="A496" s="673" t="s">
        <v>222</v>
      </c>
      <c r="B496" s="674" t="s">
        <v>293</v>
      </c>
      <c r="C496" s="675" t="s">
        <v>1400</v>
      </c>
      <c r="D496" s="673" t="s">
        <v>231</v>
      </c>
      <c r="E496" s="676">
        <f>E484+E494+E483</f>
        <v>0</v>
      </c>
      <c r="F496" s="676">
        <f>F484+F494+F483</f>
        <v>0</v>
      </c>
      <c r="G496" s="676">
        <f>G484+G494+G483</f>
        <v>0</v>
      </c>
      <c r="H496" s="677"/>
    </row>
    <row r="497" spans="1:8" ht="15">
      <c r="A497" s="483"/>
      <c r="B497" s="459"/>
      <c r="C497" s="460"/>
      <c r="D497" s="458"/>
      <c r="E497" s="769"/>
      <c r="F497" s="341"/>
      <c r="G497" s="60"/>
      <c r="H497" s="603"/>
    </row>
    <row r="498" spans="1:8" ht="15.75" thickBot="1">
      <c r="A498" s="484" t="s">
        <v>42</v>
      </c>
      <c r="B498" s="485" t="s">
        <v>329</v>
      </c>
      <c r="C498" s="486"/>
      <c r="D498" s="487"/>
      <c r="E498" s="487"/>
      <c r="F498" s="342"/>
      <c r="G498" s="263"/>
      <c r="H498" s="524"/>
    </row>
    <row r="499" spans="1:8" ht="35.25" customHeight="1" thickBot="1">
      <c r="A499" s="39" t="s">
        <v>330</v>
      </c>
      <c r="B499" s="636" t="s">
        <v>1182</v>
      </c>
      <c r="C499" s="53" t="s">
        <v>333</v>
      </c>
      <c r="D499" s="39" t="s">
        <v>231</v>
      </c>
      <c r="E499" s="39">
        <f>E386+E469+E470+E495</f>
        <v>0</v>
      </c>
      <c r="F499" s="41">
        <f>AVERAGEA(E499:E499)</f>
        <v>0</v>
      </c>
      <c r="G499" s="39">
        <f>G386+G469+G470+G495</f>
        <v>0</v>
      </c>
      <c r="H499" s="42"/>
    </row>
    <row r="500" spans="1:8" ht="15.75" thickBot="1">
      <c r="A500" s="39" t="s">
        <v>331</v>
      </c>
      <c r="B500" s="302" t="s">
        <v>294</v>
      </c>
      <c r="C500" s="53" t="s">
        <v>334</v>
      </c>
      <c r="D500" s="39" t="s">
        <v>231</v>
      </c>
      <c r="E500" s="39">
        <f>E496+E471+E387</f>
        <v>0</v>
      </c>
      <c r="F500" s="41">
        <f>AVERAGEA(E500:E500)</f>
        <v>0</v>
      </c>
      <c r="G500" s="39">
        <f>G496+G471+G387</f>
        <v>0</v>
      </c>
      <c r="H500" s="42"/>
    </row>
    <row r="501" spans="1:8" ht="35.25" customHeight="1" thickBot="1">
      <c r="A501" s="39" t="s">
        <v>332</v>
      </c>
      <c r="B501" s="347" t="s">
        <v>117</v>
      </c>
      <c r="C501" s="289" t="s">
        <v>1492</v>
      </c>
      <c r="D501" s="57" t="s">
        <v>231</v>
      </c>
      <c r="E501" s="57">
        <f>E499+E500+E252</f>
        <v>0</v>
      </c>
      <c r="F501" s="41">
        <f>AVERAGEA(E501:E501)</f>
        <v>0</v>
      </c>
      <c r="G501" s="57">
        <f>G499+G500+G252</f>
        <v>0</v>
      </c>
      <c r="H501" s="50"/>
    </row>
    <row r="502" spans="1:8" ht="15">
      <c r="A502" s="525"/>
      <c r="B502" s="297"/>
      <c r="C502" s="732"/>
      <c r="D502" s="283"/>
      <c r="E502" s="283"/>
      <c r="F502" s="304"/>
      <c r="G502" s="304"/>
      <c r="H502" s="604"/>
    </row>
    <row r="503" spans="1:8" ht="15.75" thickBot="1">
      <c r="A503" s="488" t="s">
        <v>236</v>
      </c>
      <c r="B503" s="489" t="s">
        <v>335</v>
      </c>
      <c r="C503" s="490"/>
      <c r="D503" s="491"/>
      <c r="E503" s="491"/>
      <c r="F503" s="303"/>
      <c r="G503" s="303"/>
      <c r="H503" s="605"/>
    </row>
    <row r="504" spans="1:8" ht="45.75" thickBot="1">
      <c r="A504" s="39" t="s">
        <v>337</v>
      </c>
      <c r="B504" s="302" t="s">
        <v>295</v>
      </c>
      <c r="C504" s="53" t="s">
        <v>1404</v>
      </c>
      <c r="D504" s="39" t="s">
        <v>238</v>
      </c>
      <c r="E504" s="39">
        <f>IF(E130=0,(0),((E452+E437+E423+E411+E399+E466)*10/E130))</f>
        <v>0</v>
      </c>
      <c r="F504" s="41">
        <f>_xlfn.IFERROR((E504*E130)/(E130),0)</f>
        <v>0</v>
      </c>
      <c r="G504" s="39">
        <f>IF(G130=0,(0),((G452+G437+G423+G411+G399+G466)*10/G130))</f>
        <v>0</v>
      </c>
      <c r="H504" s="42"/>
    </row>
    <row r="505" spans="1:8" ht="105" customHeight="1" thickBot="1">
      <c r="A505" s="39" t="s">
        <v>338</v>
      </c>
      <c r="B505" s="302" t="s">
        <v>296</v>
      </c>
      <c r="C505" s="53" t="s">
        <v>1405</v>
      </c>
      <c r="D505" s="39" t="s">
        <v>238</v>
      </c>
      <c r="E505" s="39">
        <f>IF(E218=0,(0),(((E454+E439+E424+E412+E400+E467)+(E271+E283+E295+E307+E319+E331+E343+E355+E374+E384-E364))*10/E218))</f>
        <v>0</v>
      </c>
      <c r="F505" s="41">
        <f>_xlfn.IFERROR((E505*E218)/(E218),0)</f>
        <v>0</v>
      </c>
      <c r="G505" s="39">
        <f>IF(G218=0,(0),(((G454+G439+G424+G412+G400+G467)+(G271+G283+G295+G307+G319+G331+G343+G355+G374+G384-G364))*10/G218))</f>
        <v>0</v>
      </c>
      <c r="H505" s="42"/>
    </row>
    <row r="506" spans="1:8" ht="15.75" thickBot="1">
      <c r="A506" s="39" t="s">
        <v>339</v>
      </c>
      <c r="B506" s="347" t="s">
        <v>297</v>
      </c>
      <c r="C506" s="289" t="s">
        <v>336</v>
      </c>
      <c r="D506" s="57" t="s">
        <v>238</v>
      </c>
      <c r="E506" s="57">
        <f>IF(E232=0,(0),(E495*10/E232))</f>
        <v>0</v>
      </c>
      <c r="F506" s="41">
        <f>_xlfn.IFERROR((E506*E232)/(E232),0)</f>
        <v>0</v>
      </c>
      <c r="G506" s="57">
        <f>IF(G232=0,(0),(G495*10/G232))</f>
        <v>0</v>
      </c>
      <c r="H506" s="50"/>
    </row>
    <row r="507" spans="1:8" ht="45.75" thickBot="1">
      <c r="A507" s="57" t="s">
        <v>741</v>
      </c>
      <c r="B507" s="347" t="s">
        <v>1208</v>
      </c>
      <c r="C507" s="289" t="s">
        <v>1534</v>
      </c>
      <c r="D507" s="57" t="s">
        <v>742</v>
      </c>
      <c r="E507" s="57">
        <f>_xlfn.IFERROR((E123*3208+E130*E504+E218*E505+E232*E506+E251*E250)/(E123+E130+E218+E232+E250),0)</f>
        <v>0</v>
      </c>
      <c r="F507" s="330">
        <f>_xlfn.IFERROR(_xlfn.AVERAGEIF(E507:E507,"&gt;0",E507:E507),0)</f>
        <v>0</v>
      </c>
      <c r="G507" s="57">
        <f>_xlfn.IFERROR((G123*3208+G130*G504+G218*G505+G232*G506+G251*G250)/(G123+G130+G218+G232+G250),0)</f>
        <v>0</v>
      </c>
      <c r="H507" s="50"/>
    </row>
    <row r="508" spans="1:8" ht="15">
      <c r="A508" s="471" t="s">
        <v>237</v>
      </c>
      <c r="B508" s="472" t="s">
        <v>146</v>
      </c>
      <c r="C508" s="473"/>
      <c r="D508" s="473"/>
      <c r="E508" s="473"/>
      <c r="F508" s="343"/>
      <c r="G508" s="261"/>
      <c r="H508" s="606"/>
    </row>
    <row r="509" spans="1:8" ht="15">
      <c r="A509" s="440" t="s">
        <v>340</v>
      </c>
      <c r="B509" s="441" t="s">
        <v>147</v>
      </c>
      <c r="C509" s="442" t="s">
        <v>110</v>
      </c>
      <c r="D509" s="442" t="s">
        <v>268</v>
      </c>
      <c r="E509" s="904"/>
      <c r="F509" s="349">
        <f>_xlfn.IFERROR(_xlfn.AVERAGEIF(E509:E509,"&gt;0",E509:E509),0)</f>
        <v>0</v>
      </c>
      <c r="G509" s="880"/>
      <c r="H509" s="880"/>
    </row>
    <row r="510" spans="1:8" ht="30">
      <c r="A510" s="440" t="s">
        <v>341</v>
      </c>
      <c r="B510" s="441" t="s">
        <v>708</v>
      </c>
      <c r="C510" s="442" t="s">
        <v>110</v>
      </c>
      <c r="D510" s="442" t="s">
        <v>149</v>
      </c>
      <c r="E510" s="905"/>
      <c r="F510" s="349">
        <f>_xlfn.IFERROR(_xlfn.AVERAGEIF(E510:E510,"&gt;0",E510:E510),0)</f>
        <v>0</v>
      </c>
      <c r="G510" s="886"/>
      <c r="H510" s="880"/>
    </row>
    <row r="511" spans="1:8" ht="30">
      <c r="A511" s="440" t="s">
        <v>342</v>
      </c>
      <c r="B511" s="441" t="s">
        <v>150</v>
      </c>
      <c r="C511" s="442" t="s">
        <v>110</v>
      </c>
      <c r="D511" s="442" t="s">
        <v>151</v>
      </c>
      <c r="E511" s="906"/>
      <c r="F511" s="349">
        <f>_xlfn.IFERROR(_xlfn.AVERAGEIF(E511:E511,"&gt;0",E511:E511),0)</f>
        <v>0</v>
      </c>
      <c r="G511" s="880"/>
      <c r="H511" s="880"/>
    </row>
    <row r="512" spans="1:8" ht="15">
      <c r="A512" s="431" t="s">
        <v>370</v>
      </c>
      <c r="B512" s="311" t="s">
        <v>369</v>
      </c>
      <c r="C512" s="492"/>
      <c r="D512" s="310"/>
      <c r="E512" s="264"/>
      <c r="F512" s="327"/>
      <c r="G512" s="253"/>
      <c r="H512" s="529"/>
    </row>
    <row r="513" spans="1:8" ht="15">
      <c r="A513" s="440" t="s">
        <v>371</v>
      </c>
      <c r="B513" s="441" t="s">
        <v>729</v>
      </c>
      <c r="C513" s="442" t="s">
        <v>110</v>
      </c>
      <c r="D513" s="442" t="s">
        <v>507</v>
      </c>
      <c r="E513" s="874"/>
      <c r="F513" s="349">
        <f>_xlfn.IFERROR(_xlfn.AVERAGEIF(E513:E513,"&gt;0",E513:E513),0)</f>
        <v>0</v>
      </c>
      <c r="G513" s="880"/>
      <c r="H513" s="880"/>
    </row>
    <row r="514" spans="1:8" ht="15">
      <c r="A514" s="440" t="s">
        <v>372</v>
      </c>
      <c r="B514" s="441" t="s">
        <v>373</v>
      </c>
      <c r="C514" s="442" t="s">
        <v>110</v>
      </c>
      <c r="D514" s="442" t="s">
        <v>508</v>
      </c>
      <c r="E514" s="874"/>
      <c r="F514" s="349">
        <f>_xlfn.IFERROR(_xlfn.AVERAGEIF(E514:E514,"&gt;0",E514:E514),0)</f>
        <v>0</v>
      </c>
      <c r="G514" s="877"/>
      <c r="H514" s="880"/>
    </row>
    <row r="515" spans="1:8" ht="15">
      <c r="A515" s="431" t="s">
        <v>378</v>
      </c>
      <c r="B515" s="311" t="s">
        <v>684</v>
      </c>
      <c r="C515" s="511"/>
      <c r="D515" s="310"/>
      <c r="E515" s="385"/>
      <c r="F515" s="512"/>
      <c r="G515" s="892"/>
      <c r="H515" s="893"/>
    </row>
    <row r="516" spans="1:8" ht="15">
      <c r="A516" s="440" t="s">
        <v>379</v>
      </c>
      <c r="B516" s="441" t="s">
        <v>374</v>
      </c>
      <c r="C516" s="442" t="s">
        <v>110</v>
      </c>
      <c r="D516" s="442" t="s">
        <v>3</v>
      </c>
      <c r="E516" s="878"/>
      <c r="F516" s="349">
        <f>_xlfn.IFERROR(_xlfn.AVERAGEIF(E516:E516,"&gt;0",E516:E516),0)</f>
        <v>0</v>
      </c>
      <c r="G516" s="880"/>
      <c r="H516" s="880"/>
    </row>
    <row r="517" spans="1:8" ht="15">
      <c r="A517" s="440" t="s">
        <v>380</v>
      </c>
      <c r="B517" s="441" t="s">
        <v>375</v>
      </c>
      <c r="C517" s="442" t="s">
        <v>110</v>
      </c>
      <c r="D517" s="442" t="s">
        <v>3</v>
      </c>
      <c r="E517" s="898"/>
      <c r="F517" s="349">
        <f>_xlfn.IFERROR(_xlfn.AVERAGEIF(E517:E517,"&gt;0",E517:E517),0)</f>
        <v>0</v>
      </c>
      <c r="G517" s="880"/>
      <c r="H517" s="880"/>
    </row>
    <row r="518" spans="1:8" ht="15">
      <c r="A518" s="440" t="s">
        <v>381</v>
      </c>
      <c r="B518" s="444" t="s">
        <v>376</v>
      </c>
      <c r="C518" s="445" t="s">
        <v>110</v>
      </c>
      <c r="D518" s="445" t="s">
        <v>3</v>
      </c>
      <c r="E518" s="878"/>
      <c r="F518" s="349">
        <f>_xlfn.IFERROR(_xlfn.AVERAGEIF(E518:E518,"&gt;0",E518:E518),0)</f>
        <v>0</v>
      </c>
      <c r="G518" s="880"/>
      <c r="H518" s="880"/>
    </row>
    <row r="519" spans="1:8" ht="15">
      <c r="A519" s="440" t="s">
        <v>382</v>
      </c>
      <c r="B519" s="444" t="s">
        <v>377</v>
      </c>
      <c r="C519" s="445" t="s">
        <v>110</v>
      </c>
      <c r="D519" s="445" t="s">
        <v>269</v>
      </c>
      <c r="E519" s="878"/>
      <c r="F519" s="349">
        <f>_xlfn.IFERROR(_xlfn.AVERAGEIF(E519:E519,"&gt;0",E519:E519),0)</f>
        <v>0</v>
      </c>
      <c r="G519" s="880"/>
      <c r="H519" s="880"/>
    </row>
    <row r="520" spans="1:8" ht="15">
      <c r="A520" s="440"/>
      <c r="B520" s="444"/>
      <c r="C520" s="445"/>
      <c r="D520" s="445"/>
      <c r="E520" s="44"/>
      <c r="F520" s="59"/>
      <c r="G520" s="59"/>
      <c r="H520" s="607"/>
    </row>
    <row r="521" spans="1:8" ht="15">
      <c r="A521" s="526" t="s">
        <v>690</v>
      </c>
      <c r="B521" s="311" t="s">
        <v>846</v>
      </c>
      <c r="C521" s="493"/>
      <c r="D521" s="493"/>
      <c r="E521" s="312"/>
      <c r="F521" s="313"/>
      <c r="G521" s="313"/>
      <c r="H521" s="608"/>
    </row>
    <row r="522" spans="1:8" ht="30">
      <c r="A522" s="484" t="s">
        <v>834</v>
      </c>
      <c r="B522" s="494" t="s">
        <v>845</v>
      </c>
      <c r="C522" s="492"/>
      <c r="D522" s="492"/>
      <c r="E522" s="265"/>
      <c r="F522" s="266"/>
      <c r="G522" s="266"/>
      <c r="H522" s="609"/>
    </row>
    <row r="523" spans="1:8" ht="15">
      <c r="A523" s="527" t="s">
        <v>43</v>
      </c>
      <c r="B523" s="252" t="s">
        <v>747</v>
      </c>
      <c r="C523" s="251" t="s">
        <v>110</v>
      </c>
      <c r="D523" s="251" t="s">
        <v>99</v>
      </c>
      <c r="E523" s="251"/>
      <c r="F523" s="344"/>
      <c r="G523" s="907">
        <v>0</v>
      </c>
      <c r="H523" s="588"/>
    </row>
    <row r="524" spans="1:8" ht="15">
      <c r="A524" s="528" t="s">
        <v>44</v>
      </c>
      <c r="B524" s="308" t="s">
        <v>748</v>
      </c>
      <c r="C524" s="307" t="s">
        <v>110</v>
      </c>
      <c r="D524" s="307" t="s">
        <v>231</v>
      </c>
      <c r="E524" s="307"/>
      <c r="F524" s="345"/>
      <c r="G524" s="908">
        <v>0</v>
      </c>
      <c r="H524" s="588"/>
    </row>
    <row r="525" spans="1:8" ht="15">
      <c r="A525" s="440"/>
      <c r="B525" s="444"/>
      <c r="C525" s="445"/>
      <c r="D525" s="445"/>
      <c r="E525" s="44"/>
      <c r="F525" s="59"/>
      <c r="G525" s="59"/>
      <c r="H525" s="607"/>
    </row>
    <row r="526" spans="1:8" ht="30">
      <c r="A526" s="526" t="s">
        <v>835</v>
      </c>
      <c r="B526" s="311" t="s">
        <v>844</v>
      </c>
      <c r="C526" s="493"/>
      <c r="D526" s="493"/>
      <c r="E526" s="312"/>
      <c r="F526" s="313"/>
      <c r="G526" s="313"/>
      <c r="H526" s="608"/>
    </row>
    <row r="527" spans="1:8" ht="30">
      <c r="A527" s="440" t="s">
        <v>43</v>
      </c>
      <c r="B527" s="444" t="s">
        <v>1509</v>
      </c>
      <c r="C527" s="445" t="s">
        <v>110</v>
      </c>
      <c r="D527" s="445" t="s">
        <v>76</v>
      </c>
      <c r="E527" s="509"/>
      <c r="F527" s="509"/>
      <c r="G527" s="778">
        <v>0</v>
      </c>
      <c r="H527" s="588"/>
    </row>
    <row r="528" spans="1:8" ht="45">
      <c r="A528" s="440" t="s">
        <v>44</v>
      </c>
      <c r="B528" s="444" t="s">
        <v>1510</v>
      </c>
      <c r="C528" s="445" t="s">
        <v>110</v>
      </c>
      <c r="D528" s="445" t="s">
        <v>76</v>
      </c>
      <c r="E528" s="509"/>
      <c r="F528" s="509"/>
      <c r="G528" s="778">
        <v>0</v>
      </c>
      <c r="H528" s="588"/>
    </row>
    <row r="529" spans="1:8" ht="45">
      <c r="A529" s="440" t="s">
        <v>45</v>
      </c>
      <c r="B529" s="444" t="s">
        <v>1511</v>
      </c>
      <c r="C529" s="445" t="s">
        <v>110</v>
      </c>
      <c r="D529" s="445" t="s">
        <v>76</v>
      </c>
      <c r="E529" s="509"/>
      <c r="F529" s="509"/>
      <c r="G529" s="778">
        <v>0</v>
      </c>
      <c r="H529" s="588"/>
    </row>
    <row r="530" spans="1:8" ht="15">
      <c r="A530" s="526" t="s">
        <v>836</v>
      </c>
      <c r="B530" s="311" t="s">
        <v>769</v>
      </c>
      <c r="C530" s="310"/>
      <c r="D530" s="310"/>
      <c r="E530" s="264"/>
      <c r="F530" s="260"/>
      <c r="G530" s="260"/>
      <c r="H530" s="611"/>
    </row>
    <row r="531" spans="1:8" ht="30">
      <c r="A531" s="527" t="s">
        <v>43</v>
      </c>
      <c r="B531" s="252" t="s">
        <v>756</v>
      </c>
      <c r="C531" s="251" t="s">
        <v>110</v>
      </c>
      <c r="D531" s="251" t="s">
        <v>99</v>
      </c>
      <c r="E531" s="251"/>
      <c r="F531" s="344"/>
      <c r="G531" s="909">
        <f>'Annex Project Activites List'!K27</f>
        <v>0</v>
      </c>
      <c r="H531" s="588"/>
    </row>
    <row r="532" spans="1:8" ht="30">
      <c r="A532" s="527" t="s">
        <v>44</v>
      </c>
      <c r="B532" s="252" t="s">
        <v>757</v>
      </c>
      <c r="C532" s="251" t="s">
        <v>110</v>
      </c>
      <c r="D532" s="251" t="s">
        <v>231</v>
      </c>
      <c r="E532" s="251"/>
      <c r="F532" s="344"/>
      <c r="G532" s="909">
        <f>'Annex Project Activites List'!L27</f>
        <v>0</v>
      </c>
      <c r="H532" s="588"/>
    </row>
    <row r="533" spans="1:8" ht="15">
      <c r="A533" s="519" t="s">
        <v>837</v>
      </c>
      <c r="B533" s="447" t="s">
        <v>758</v>
      </c>
      <c r="C533" s="301"/>
      <c r="D533" s="301"/>
      <c r="E533" s="291"/>
      <c r="F533" s="309"/>
      <c r="G533" s="309"/>
      <c r="H533" s="610"/>
    </row>
    <row r="534" spans="1:8" ht="45">
      <c r="A534" s="440" t="s">
        <v>43</v>
      </c>
      <c r="B534" s="444" t="s">
        <v>759</v>
      </c>
      <c r="C534" s="445" t="s">
        <v>110</v>
      </c>
      <c r="D534" s="445" t="s">
        <v>99</v>
      </c>
      <c r="E534" s="504"/>
      <c r="F534" s="509"/>
      <c r="G534" s="778">
        <v>0</v>
      </c>
      <c r="H534" s="588"/>
    </row>
    <row r="535" spans="1:8" ht="45">
      <c r="A535" s="440" t="s">
        <v>44</v>
      </c>
      <c r="B535" s="444" t="s">
        <v>760</v>
      </c>
      <c r="C535" s="445" t="s">
        <v>110</v>
      </c>
      <c r="D535" s="445" t="s">
        <v>231</v>
      </c>
      <c r="E535" s="504"/>
      <c r="F535" s="509"/>
      <c r="G535" s="778">
        <v>0</v>
      </c>
      <c r="H535" s="588"/>
    </row>
    <row r="536" spans="1:8" ht="30">
      <c r="A536" s="440" t="s">
        <v>45</v>
      </c>
      <c r="B536" s="444" t="s">
        <v>762</v>
      </c>
      <c r="C536" s="445" t="s">
        <v>110</v>
      </c>
      <c r="D536" s="445" t="s">
        <v>763</v>
      </c>
      <c r="E536" s="504"/>
      <c r="F536" s="509"/>
      <c r="G536" s="778">
        <v>0</v>
      </c>
      <c r="H536" s="588"/>
    </row>
    <row r="537" spans="1:8" ht="15">
      <c r="A537" s="440" t="s">
        <v>46</v>
      </c>
      <c r="B537" s="444" t="s">
        <v>765</v>
      </c>
      <c r="C537" s="445" t="s">
        <v>766</v>
      </c>
      <c r="D537" s="445"/>
      <c r="E537" s="504"/>
      <c r="F537" s="509"/>
      <c r="G537" s="778">
        <v>0</v>
      </c>
      <c r="H537" s="588"/>
    </row>
    <row r="538" spans="1:8" ht="60">
      <c r="A538" s="440" t="s">
        <v>47</v>
      </c>
      <c r="B538" s="444" t="s">
        <v>764</v>
      </c>
      <c r="C538" s="445" t="s">
        <v>110</v>
      </c>
      <c r="D538" s="445" t="s">
        <v>99</v>
      </c>
      <c r="E538" s="504"/>
      <c r="F538" s="509"/>
      <c r="G538" s="778">
        <v>0</v>
      </c>
      <c r="H538" s="588"/>
    </row>
    <row r="539" spans="1:8" ht="45">
      <c r="A539" s="440" t="s">
        <v>48</v>
      </c>
      <c r="B539" s="444" t="s">
        <v>761</v>
      </c>
      <c r="C539" s="445" t="s">
        <v>110</v>
      </c>
      <c r="D539" s="445" t="s">
        <v>231</v>
      </c>
      <c r="E539" s="504"/>
      <c r="F539" s="509"/>
      <c r="G539" s="778">
        <v>0</v>
      </c>
      <c r="H539" s="588"/>
    </row>
    <row r="540" spans="1:8" ht="30">
      <c r="A540" s="440" t="s">
        <v>49</v>
      </c>
      <c r="B540" s="444" t="s">
        <v>1193</v>
      </c>
      <c r="C540" s="445" t="s">
        <v>110</v>
      </c>
      <c r="D540" s="445" t="s">
        <v>99</v>
      </c>
      <c r="E540" s="504"/>
      <c r="F540" s="509"/>
      <c r="G540" s="778">
        <v>0</v>
      </c>
      <c r="H540" s="588"/>
    </row>
    <row r="541" spans="1:8" ht="30">
      <c r="A541" s="440" t="s">
        <v>50</v>
      </c>
      <c r="B541" s="444" t="s">
        <v>1192</v>
      </c>
      <c r="C541" s="445" t="s">
        <v>766</v>
      </c>
      <c r="D541" s="445"/>
      <c r="E541" s="504"/>
      <c r="F541" s="510"/>
      <c r="G541" s="778">
        <v>0</v>
      </c>
      <c r="H541" s="588"/>
    </row>
    <row r="542" spans="1:8" ht="15">
      <c r="A542" s="526" t="s">
        <v>838</v>
      </c>
      <c r="B542" s="311" t="s">
        <v>752</v>
      </c>
      <c r="C542" s="310"/>
      <c r="D542" s="310"/>
      <c r="E542" s="264"/>
      <c r="F542" s="260"/>
      <c r="G542" s="260"/>
      <c r="H542" s="611"/>
    </row>
    <row r="543" spans="1:8" ht="15">
      <c r="A543" s="440" t="s">
        <v>43</v>
      </c>
      <c r="B543" s="444" t="s">
        <v>753</v>
      </c>
      <c r="C543" s="445" t="s">
        <v>110</v>
      </c>
      <c r="D543" s="445" t="s">
        <v>99</v>
      </c>
      <c r="E543" s="504"/>
      <c r="F543" s="509"/>
      <c r="G543" s="778">
        <v>0</v>
      </c>
      <c r="H543" s="588"/>
    </row>
    <row r="544" spans="1:8" ht="15">
      <c r="A544" s="440" t="s">
        <v>44</v>
      </c>
      <c r="B544" s="444" t="s">
        <v>754</v>
      </c>
      <c r="C544" s="445" t="s">
        <v>110</v>
      </c>
      <c r="D544" s="445" t="s">
        <v>231</v>
      </c>
      <c r="E544" s="504"/>
      <c r="F544" s="509"/>
      <c r="G544" s="778">
        <v>0</v>
      </c>
      <c r="H544" s="588"/>
    </row>
    <row r="545" spans="1:8" ht="15">
      <c r="A545" s="290"/>
      <c r="B545" s="52"/>
      <c r="C545" s="44"/>
      <c r="D545" s="44"/>
      <c r="E545" s="44"/>
      <c r="F545" s="59"/>
      <c r="G545" s="295"/>
      <c r="H545" s="588"/>
    </row>
    <row r="546" spans="1:8" ht="15">
      <c r="A546" s="995" t="s">
        <v>789</v>
      </c>
      <c r="B546" s="996"/>
      <c r="C546" s="996"/>
      <c r="D546" s="996"/>
      <c r="E546" s="996"/>
      <c r="F546" s="996"/>
      <c r="G546" s="996"/>
      <c r="H546" s="997"/>
    </row>
    <row r="547" spans="1:8" ht="15">
      <c r="A547" s="530"/>
      <c r="B547" s="386"/>
      <c r="C547" s="44"/>
      <c r="D547" s="43"/>
      <c r="E547" s="386"/>
      <c r="F547" s="386"/>
      <c r="G547" s="386"/>
      <c r="H547" s="531"/>
    </row>
    <row r="548" spans="1:8" ht="15">
      <c r="A548" s="526" t="s">
        <v>709</v>
      </c>
      <c r="B548" s="311" t="s">
        <v>830</v>
      </c>
      <c r="C548" s="310"/>
      <c r="D548" s="310"/>
      <c r="E548" s="264"/>
      <c r="F548" s="260"/>
      <c r="G548" s="260"/>
      <c r="H548" s="611"/>
    </row>
    <row r="549" spans="1:8" ht="30">
      <c r="A549" s="440" t="s">
        <v>43</v>
      </c>
      <c r="B549" s="741" t="s">
        <v>827</v>
      </c>
      <c r="C549" s="445"/>
      <c r="D549" s="445" t="s">
        <v>689</v>
      </c>
      <c r="E549" s="43" t="s">
        <v>825</v>
      </c>
      <c r="F549" s="349" t="str">
        <f>IF(AND(E549="Yes"),"Yes","No")</f>
        <v>Yes</v>
      </c>
      <c r="G549" s="43" t="s">
        <v>825</v>
      </c>
      <c r="H549" s="588"/>
    </row>
    <row r="550" spans="1:8" ht="30">
      <c r="A550" s="440" t="s">
        <v>44</v>
      </c>
      <c r="B550" s="741" t="s">
        <v>828</v>
      </c>
      <c r="C550" s="445"/>
      <c r="D550" s="445" t="s">
        <v>689</v>
      </c>
      <c r="E550" s="43" t="s">
        <v>825</v>
      </c>
      <c r="F550" s="349" t="str">
        <f aca="true" t="shared" si="17" ref="F550:F556">IF(AND(E550="Yes"),"Yes","No")</f>
        <v>Yes</v>
      </c>
      <c r="G550" s="43" t="s">
        <v>825</v>
      </c>
      <c r="H550" s="588"/>
    </row>
    <row r="551" spans="1:8" ht="30">
      <c r="A551" s="440" t="s">
        <v>45</v>
      </c>
      <c r="B551" s="741" t="s">
        <v>829</v>
      </c>
      <c r="C551" s="445"/>
      <c r="D551" s="445" t="s">
        <v>689</v>
      </c>
      <c r="E551" s="43" t="s">
        <v>825</v>
      </c>
      <c r="F551" s="349" t="str">
        <f t="shared" si="17"/>
        <v>Yes</v>
      </c>
      <c r="G551" s="43" t="s">
        <v>825</v>
      </c>
      <c r="H551" s="588"/>
    </row>
    <row r="552" spans="1:8" ht="15">
      <c r="A552" s="440" t="s">
        <v>46</v>
      </c>
      <c r="B552" s="741" t="s">
        <v>831</v>
      </c>
      <c r="C552" s="445"/>
      <c r="D552" s="445" t="s">
        <v>689</v>
      </c>
      <c r="E552" s="43" t="s">
        <v>825</v>
      </c>
      <c r="F552" s="349" t="str">
        <f t="shared" si="17"/>
        <v>Yes</v>
      </c>
      <c r="G552" s="43" t="s">
        <v>825</v>
      </c>
      <c r="H552" s="588"/>
    </row>
    <row r="553" spans="1:8" ht="30">
      <c r="A553" s="440" t="s">
        <v>47</v>
      </c>
      <c r="B553" s="741" t="s">
        <v>832</v>
      </c>
      <c r="C553" s="445"/>
      <c r="D553" s="445" t="s">
        <v>689</v>
      </c>
      <c r="E553" s="43" t="s">
        <v>825</v>
      </c>
      <c r="F553" s="349" t="str">
        <f t="shared" si="17"/>
        <v>Yes</v>
      </c>
      <c r="G553" s="43" t="s">
        <v>825</v>
      </c>
      <c r="H553" s="588"/>
    </row>
    <row r="554" spans="1:8" ht="30">
      <c r="A554" s="440" t="s">
        <v>48</v>
      </c>
      <c r="B554" s="741" t="s">
        <v>833</v>
      </c>
      <c r="C554" s="445"/>
      <c r="D554" s="445" t="s">
        <v>689</v>
      </c>
      <c r="E554" s="43" t="s">
        <v>825</v>
      </c>
      <c r="F554" s="349" t="str">
        <f t="shared" si="17"/>
        <v>Yes</v>
      </c>
      <c r="G554" s="43" t="s">
        <v>825</v>
      </c>
      <c r="H554" s="588"/>
    </row>
    <row r="555" spans="1:8" ht="15" customHeight="1">
      <c r="A555" s="440" t="s">
        <v>50</v>
      </c>
      <c r="B555" s="822" t="s">
        <v>1178</v>
      </c>
      <c r="C555" s="445"/>
      <c r="D555" s="445" t="s">
        <v>689</v>
      </c>
      <c r="E555" s="43" t="s">
        <v>825</v>
      </c>
      <c r="F555" s="349" t="str">
        <f t="shared" si="17"/>
        <v>Yes</v>
      </c>
      <c r="G555" s="43" t="s">
        <v>825</v>
      </c>
      <c r="H555" s="588"/>
    </row>
    <row r="556" spans="1:8" ht="15" customHeight="1">
      <c r="A556" s="783" t="s">
        <v>100</v>
      </c>
      <c r="B556" s="822" t="s">
        <v>1649</v>
      </c>
      <c r="C556" s="445"/>
      <c r="D556" s="823" t="s">
        <v>689</v>
      </c>
      <c r="E556" s="773" t="s">
        <v>825</v>
      </c>
      <c r="F556" s="349" t="str">
        <f t="shared" si="17"/>
        <v>Yes</v>
      </c>
      <c r="G556" s="773" t="s">
        <v>825</v>
      </c>
      <c r="H556" s="779"/>
    </row>
    <row r="557" spans="1:8" ht="15">
      <c r="A557" s="440"/>
      <c r="B557" s="741"/>
      <c r="C557" s="445"/>
      <c r="D557" s="445"/>
      <c r="E557" s="44"/>
      <c r="F557" s="44"/>
      <c r="G557" s="44"/>
      <c r="H557" s="588"/>
    </row>
    <row r="558" spans="1:8" ht="15">
      <c r="A558" s="526" t="s">
        <v>839</v>
      </c>
      <c r="B558" s="311" t="s">
        <v>1211</v>
      </c>
      <c r="C558" s="310" t="s">
        <v>110</v>
      </c>
      <c r="D558" s="310" t="s">
        <v>1077</v>
      </c>
      <c r="E558" s="264"/>
      <c r="F558" s="312"/>
      <c r="G558" s="312"/>
      <c r="H558" s="602"/>
    </row>
    <row r="559" spans="1:8" ht="15">
      <c r="A559" s="443" t="s">
        <v>43</v>
      </c>
      <c r="B559" s="444" t="s">
        <v>1076</v>
      </c>
      <c r="C559" s="445" t="s">
        <v>110</v>
      </c>
      <c r="D559" s="445" t="s">
        <v>1077</v>
      </c>
      <c r="E559" s="641">
        <v>0</v>
      </c>
      <c r="F559" s="349">
        <f>AVERAGEA(E559:E559)</f>
        <v>0</v>
      </c>
      <c r="G559" s="641"/>
      <c r="H559" s="589"/>
    </row>
    <row r="560" spans="1:8" s="655" customFormat="1" ht="15">
      <c r="A560" s="651" t="s">
        <v>44</v>
      </c>
      <c r="B560" s="652" t="s">
        <v>1205</v>
      </c>
      <c r="C560" s="301"/>
      <c r="D560" s="653"/>
      <c r="E560" s="863"/>
      <c r="F560" s="670"/>
      <c r="G560" s="863"/>
      <c r="H560" s="654"/>
    </row>
    <row r="561" spans="1:8" s="655" customFormat="1" ht="15">
      <c r="A561" s="651" t="s">
        <v>123</v>
      </c>
      <c r="B561" s="652" t="s">
        <v>1218</v>
      </c>
      <c r="C561" s="301"/>
      <c r="D561" s="653"/>
      <c r="E561" s="863"/>
      <c r="F561" s="670"/>
      <c r="G561" s="863"/>
      <c r="H561" s="654"/>
    </row>
    <row r="562" spans="1:8" ht="15">
      <c r="A562" s="443" t="s">
        <v>1221</v>
      </c>
      <c r="B562" s="441" t="s">
        <v>1215</v>
      </c>
      <c r="C562" s="445" t="s">
        <v>110</v>
      </c>
      <c r="D562" s="442" t="s">
        <v>231</v>
      </c>
      <c r="E562" s="641">
        <v>0</v>
      </c>
      <c r="F562" s="349">
        <f aca="true" t="shared" si="18" ref="F562:F568">AVERAGEA(E562:E562)</f>
        <v>0</v>
      </c>
      <c r="G562" s="641"/>
      <c r="H562" s="589"/>
    </row>
    <row r="563" spans="1:8" ht="15">
      <c r="A563" s="443" t="s">
        <v>1222</v>
      </c>
      <c r="B563" s="441" t="s">
        <v>1216</v>
      </c>
      <c r="C563" s="445" t="s">
        <v>110</v>
      </c>
      <c r="D563" s="442" t="s">
        <v>231</v>
      </c>
      <c r="E563" s="641">
        <v>0</v>
      </c>
      <c r="F563" s="349">
        <f t="shared" si="18"/>
        <v>0</v>
      </c>
      <c r="G563" s="641"/>
      <c r="H563" s="589"/>
    </row>
    <row r="564" spans="1:8" ht="15">
      <c r="A564" s="443" t="s">
        <v>1223</v>
      </c>
      <c r="B564" s="441" t="s">
        <v>1217</v>
      </c>
      <c r="C564" s="445" t="s">
        <v>110</v>
      </c>
      <c r="D564" s="442" t="s">
        <v>231</v>
      </c>
      <c r="E564" s="641">
        <v>0</v>
      </c>
      <c r="F564" s="349">
        <f t="shared" si="18"/>
        <v>0</v>
      </c>
      <c r="G564" s="641"/>
      <c r="H564" s="589"/>
    </row>
    <row r="565" spans="1:8" ht="15">
      <c r="A565" s="443" t="s">
        <v>1224</v>
      </c>
      <c r="B565" s="441" t="s">
        <v>1219</v>
      </c>
      <c r="C565" s="445" t="s">
        <v>110</v>
      </c>
      <c r="D565" s="442" t="s">
        <v>231</v>
      </c>
      <c r="E565" s="641">
        <v>0</v>
      </c>
      <c r="F565" s="349">
        <f t="shared" si="18"/>
        <v>0</v>
      </c>
      <c r="G565" s="641"/>
      <c r="H565" s="589"/>
    </row>
    <row r="566" spans="1:8" ht="15">
      <c r="A566" s="651" t="s">
        <v>125</v>
      </c>
      <c r="B566" s="652" t="s">
        <v>1220</v>
      </c>
      <c r="C566" s="445" t="s">
        <v>110</v>
      </c>
      <c r="D566" s="442" t="s">
        <v>231</v>
      </c>
      <c r="E566" s="641">
        <v>0</v>
      </c>
      <c r="F566" s="349">
        <f t="shared" si="18"/>
        <v>0</v>
      </c>
      <c r="G566" s="641"/>
      <c r="H566" s="589"/>
    </row>
    <row r="567" spans="1:8" ht="15">
      <c r="A567" s="651" t="s">
        <v>137</v>
      </c>
      <c r="B567" s="652" t="s">
        <v>17</v>
      </c>
      <c r="C567" s="445" t="s">
        <v>110</v>
      </c>
      <c r="D567" s="442" t="s">
        <v>231</v>
      </c>
      <c r="E567" s="641">
        <v>0</v>
      </c>
      <c r="F567" s="349">
        <f t="shared" si="18"/>
        <v>0</v>
      </c>
      <c r="G567" s="641"/>
      <c r="H567" s="589"/>
    </row>
    <row r="568" spans="1:8" ht="15">
      <c r="A568" s="443" t="s">
        <v>45</v>
      </c>
      <c r="B568" s="441" t="s">
        <v>1206</v>
      </c>
      <c r="C568" s="445" t="s">
        <v>110</v>
      </c>
      <c r="D568" s="442" t="s">
        <v>1207</v>
      </c>
      <c r="E568" s="641">
        <v>0</v>
      </c>
      <c r="F568" s="349">
        <f t="shared" si="18"/>
        <v>0</v>
      </c>
      <c r="G568" s="641"/>
      <c r="H568" s="589"/>
    </row>
    <row r="569" spans="1:8" ht="15">
      <c r="A569" s="443"/>
      <c r="B569" s="441"/>
      <c r="C569" s="442"/>
      <c r="D569" s="442"/>
      <c r="E569" s="49"/>
      <c r="F569" s="641"/>
      <c r="G569" s="641"/>
      <c r="H569" s="589"/>
    </row>
    <row r="570" spans="1:8" ht="15.75" thickBot="1">
      <c r="A570" s="532" t="s">
        <v>938</v>
      </c>
      <c r="B570" s="533" t="s">
        <v>688</v>
      </c>
      <c r="C570" s="534" t="s">
        <v>689</v>
      </c>
      <c r="D570" s="534"/>
      <c r="E570" s="534"/>
      <c r="F570" s="998" t="s">
        <v>825</v>
      </c>
      <c r="G570" s="998"/>
      <c r="H570" s="612"/>
    </row>
    <row r="571" spans="1:8" ht="15.75" thickBot="1">
      <c r="A571" s="578"/>
      <c r="B571" s="579"/>
      <c r="C571" s="580"/>
      <c r="D571" s="580"/>
      <c r="E571" s="580"/>
      <c r="F571" s="581"/>
      <c r="G571" s="581"/>
      <c r="H571" s="613"/>
    </row>
    <row r="572" spans="1:8" ht="15.75" thickBot="1">
      <c r="A572" s="495"/>
      <c r="B572" s="496" t="s">
        <v>1140</v>
      </c>
      <c r="C572" s="305"/>
      <c r="D572" s="305"/>
      <c r="E572" s="305"/>
      <c r="F572" s="306"/>
      <c r="G572" s="306"/>
      <c r="H572" s="614"/>
    </row>
    <row r="573" spans="1:8" ht="15.75" thickBot="1">
      <c r="A573" s="497">
        <v>0</v>
      </c>
      <c r="B573" s="498" t="s">
        <v>1142</v>
      </c>
      <c r="C573" s="305"/>
      <c r="D573" s="305"/>
      <c r="E573" s="305"/>
      <c r="F573" s="306"/>
      <c r="G573" s="306"/>
      <c r="H573" s="614"/>
    </row>
    <row r="574" spans="1:8" ht="15.75" thickBot="1">
      <c r="A574" s="499"/>
      <c r="B574" s="500" t="s">
        <v>1141</v>
      </c>
      <c r="C574" s="316"/>
      <c r="D574" s="65"/>
      <c r="E574" s="64"/>
      <c r="F574" s="64"/>
      <c r="G574" s="65"/>
      <c r="H574" s="615"/>
    </row>
    <row r="575" spans="1:8" ht="15.75" thickBot="1">
      <c r="A575" s="501"/>
      <c r="B575" s="500" t="s">
        <v>1147</v>
      </c>
      <c r="C575" s="316"/>
      <c r="D575" s="65"/>
      <c r="E575" s="64"/>
      <c r="F575" s="64"/>
      <c r="G575" s="65"/>
      <c r="H575" s="615"/>
    </row>
    <row r="576" spans="1:8" ht="15.75" thickBot="1">
      <c r="A576" s="502" t="s">
        <v>825</v>
      </c>
      <c r="B576" s="503" t="s">
        <v>1148</v>
      </c>
      <c r="C576" s="316"/>
      <c r="D576" s="65"/>
      <c r="E576" s="64"/>
      <c r="F576" s="64"/>
      <c r="G576" s="65"/>
      <c r="H576" s="615"/>
    </row>
    <row r="577" spans="1:8" ht="15">
      <c r="A577" s="582"/>
      <c r="B577" s="284"/>
      <c r="C577" s="583"/>
      <c r="D577" s="584"/>
      <c r="E577" s="285"/>
      <c r="F577" s="285"/>
      <c r="G577" s="584"/>
      <c r="H577" s="616"/>
    </row>
    <row r="578" spans="1:8" ht="15">
      <c r="A578" s="582"/>
      <c r="B578" s="284"/>
      <c r="C578" s="583"/>
      <c r="D578" s="584"/>
      <c r="E578" s="285"/>
      <c r="F578" s="285"/>
      <c r="G578" s="584"/>
      <c r="H578" s="616"/>
    </row>
    <row r="579" spans="1:8" ht="15">
      <c r="A579" s="999" t="s">
        <v>1177</v>
      </c>
      <c r="B579" s="1000"/>
      <c r="C579" s="1000"/>
      <c r="D579" s="1000"/>
      <c r="E579" s="1000"/>
      <c r="F579" s="1000"/>
      <c r="G579" s="1000"/>
      <c r="H579" s="1001"/>
    </row>
    <row r="580" spans="1:8" ht="15">
      <c r="A580" s="999"/>
      <c r="B580" s="1000"/>
      <c r="C580" s="1000"/>
      <c r="D580" s="1000"/>
      <c r="E580" s="1000"/>
      <c r="F580" s="1000"/>
      <c r="G580" s="1000"/>
      <c r="H580" s="1001"/>
    </row>
    <row r="581" spans="1:8" ht="15">
      <c r="A581" s="582"/>
      <c r="B581" s="284"/>
      <c r="C581" s="732"/>
      <c r="D581" s="283"/>
      <c r="E581" s="585"/>
      <c r="F581" s="585"/>
      <c r="G581" s="283"/>
      <c r="H581" s="617"/>
    </row>
    <row r="582" spans="1:8" ht="15">
      <c r="A582" s="582"/>
      <c r="B582" s="284"/>
      <c r="C582" s="732"/>
      <c r="D582" s="283"/>
      <c r="E582" s="585"/>
      <c r="F582" s="585"/>
      <c r="G582" s="283"/>
      <c r="H582" s="617"/>
    </row>
    <row r="583" spans="1:8" ht="15">
      <c r="A583" s="582"/>
      <c r="B583" s="284"/>
      <c r="C583" s="732"/>
      <c r="D583" s="283"/>
      <c r="E583" s="585"/>
      <c r="F583" s="585"/>
      <c r="G583" s="283"/>
      <c r="H583" s="617"/>
    </row>
    <row r="584" spans="1:8" ht="15">
      <c r="A584" s="990" t="s">
        <v>233</v>
      </c>
      <c r="B584" s="991"/>
      <c r="C584" s="991"/>
      <c r="D584" s="991"/>
      <c r="E584" s="991"/>
      <c r="F584" s="991"/>
      <c r="G584" s="991"/>
      <c r="H584" s="992"/>
    </row>
    <row r="585" spans="1:8" ht="15">
      <c r="A585" s="742" t="s">
        <v>1608</v>
      </c>
      <c r="B585" s="577"/>
      <c r="C585" s="575"/>
      <c r="D585" s="576"/>
      <c r="E585" s="577"/>
      <c r="F585" s="577"/>
      <c r="G585" s="576"/>
      <c r="H585" s="618"/>
    </row>
    <row r="586" spans="1:8" ht="15">
      <c r="A586" s="743" t="s">
        <v>1609</v>
      </c>
      <c r="B586" s="577"/>
      <c r="C586" s="575"/>
      <c r="D586" s="576"/>
      <c r="E586" s="577"/>
      <c r="F586" s="577"/>
      <c r="G586" s="993" t="s">
        <v>196</v>
      </c>
      <c r="H586" s="994"/>
    </row>
    <row r="587" spans="1:8" ht="15" customHeight="1">
      <c r="A587" s="1012" t="s">
        <v>1696</v>
      </c>
      <c r="B587" s="1013"/>
      <c r="C587" s="316"/>
      <c r="D587" s="65"/>
      <c r="E587" s="64"/>
      <c r="F587" s="64"/>
      <c r="G587" s="65"/>
      <c r="H587" s="615"/>
    </row>
    <row r="588" spans="1:8" ht="15">
      <c r="A588" s="63"/>
      <c r="B588" s="64"/>
      <c r="C588" s="316"/>
      <c r="D588" s="65"/>
      <c r="E588" s="64"/>
      <c r="F588" s="64"/>
      <c r="G588" s="65"/>
      <c r="H588" s="615"/>
    </row>
    <row r="589" spans="1:8" ht="15" customHeight="1" thickBot="1">
      <c r="A589" s="985" t="s">
        <v>1695</v>
      </c>
      <c r="B589" s="986"/>
      <c r="C589" s="647"/>
      <c r="D589" s="648"/>
      <c r="E589" s="649"/>
      <c r="F589" s="649"/>
      <c r="G589" s="648"/>
      <c r="H589" s="650"/>
    </row>
    <row r="590" spans="1:8" ht="15.75">
      <c r="A590" s="66"/>
      <c r="B590" s="67"/>
      <c r="C590" s="316"/>
      <c r="D590" s="65"/>
      <c r="E590" s="65"/>
      <c r="F590" s="64"/>
      <c r="G590" s="988"/>
      <c r="H590" s="988"/>
    </row>
    <row r="591" spans="1:8" ht="15.75" hidden="1">
      <c r="A591" s="66"/>
      <c r="B591" s="68"/>
      <c r="C591" s="316"/>
      <c r="D591" s="65"/>
      <c r="E591" s="65"/>
      <c r="F591" s="64"/>
      <c r="G591" s="64"/>
      <c r="H591" s="64"/>
    </row>
    <row r="592" spans="1:8" ht="15.75" hidden="1">
      <c r="A592" s="66"/>
      <c r="B592" s="68"/>
      <c r="C592" s="316"/>
      <c r="D592" s="65"/>
      <c r="E592" s="65"/>
      <c r="F592" s="64"/>
      <c r="G592" s="64"/>
      <c r="H592" s="64"/>
    </row>
    <row r="593" spans="1:8" ht="15.75" hidden="1">
      <c r="A593" s="66"/>
      <c r="B593" s="68"/>
      <c r="C593" s="316"/>
      <c r="D593" s="65"/>
      <c r="E593" s="65"/>
      <c r="F593" s="64"/>
      <c r="G593" s="64"/>
      <c r="H593" s="64"/>
    </row>
    <row r="594" spans="1:8" ht="15.75" hidden="1">
      <c r="A594" s="66"/>
      <c r="B594" s="67"/>
      <c r="C594" s="316"/>
      <c r="D594" s="65"/>
      <c r="E594" s="65"/>
      <c r="F594" s="64"/>
      <c r="G594" s="988"/>
      <c r="H594" s="988"/>
    </row>
    <row r="595" spans="1:8" ht="15.75" hidden="1">
      <c r="A595" s="66"/>
      <c r="B595" s="68"/>
      <c r="C595" s="316"/>
      <c r="D595" s="65"/>
      <c r="E595" s="65"/>
      <c r="F595" s="64"/>
      <c r="G595" s="64"/>
      <c r="H595" s="64"/>
    </row>
    <row r="596" ht="15"/>
    <row r="597" ht="15"/>
    <row r="598" ht="15"/>
    <row r="599" ht="15"/>
    <row r="600" ht="15"/>
    <row r="601" ht="15"/>
    <row r="602" ht="15"/>
    <row r="603" ht="15"/>
    <row r="604" ht="15"/>
    <row r="605" ht="15"/>
    <row r="606" ht="15"/>
    <row r="607" ht="15"/>
    <row r="608" ht="15"/>
    <row r="609" ht="15"/>
    <row r="610" ht="15"/>
    <row r="611" ht="15"/>
    <row r="612" ht="15"/>
    <row r="613" ht="15"/>
    <row r="614" ht="15"/>
  </sheetData>
  <sheetProtection password="E2BB" sheet="1"/>
  <mergeCells count="16">
    <mergeCell ref="A2:H2"/>
    <mergeCell ref="A1:H1"/>
    <mergeCell ref="A3:B3"/>
    <mergeCell ref="C3:H3"/>
    <mergeCell ref="C366:D366"/>
    <mergeCell ref="A587:B587"/>
    <mergeCell ref="A589:B589"/>
    <mergeCell ref="C376:D376"/>
    <mergeCell ref="G594:H594"/>
    <mergeCell ref="G590:H590"/>
    <mergeCell ref="C457:D457"/>
    <mergeCell ref="A584:H584"/>
    <mergeCell ref="G586:H586"/>
    <mergeCell ref="A546:H546"/>
    <mergeCell ref="F570:G570"/>
    <mergeCell ref="A579:H580"/>
  </mergeCells>
  <conditionalFormatting sqref="F485:H486 F473:H474 F456:H456 F441:H442 F402:H403 F414:H415 F376:H376 F285:H285 F260:H262 F297:H297 F366:H366 F229:H230 F426:H427 F389:H390 F273:H274 F125:H127 F106:H106 F237:H238 F133:H134 F215:H215 F31:H31 F6:F14 F17:F30 H6 F33:F73 E527:F529 E217:G218 E220:G224 E219:F219 A120:D120 F457">
    <cfRule type="cellIs" priority="707" dxfId="3" operator="equal" stopIfTrue="1">
      <formula>"NA"</formula>
    </cfRule>
    <cfRule type="cellIs" priority="708" dxfId="2" operator="equal" stopIfTrue="1">
      <formula>"NA"</formula>
    </cfRule>
  </conditionalFormatting>
  <conditionalFormatting sqref="F310:H310">
    <cfRule type="cellIs" priority="685" dxfId="3" operator="equal" stopIfTrue="1">
      <formula>"NA"</formula>
    </cfRule>
    <cfRule type="cellIs" priority="686" dxfId="2" operator="equal" stopIfTrue="1">
      <formula>"NA"</formula>
    </cfRule>
  </conditionalFormatting>
  <conditionalFormatting sqref="F322:H322">
    <cfRule type="cellIs" priority="683" dxfId="3" operator="equal" stopIfTrue="1">
      <formula>"NA"</formula>
    </cfRule>
    <cfRule type="cellIs" priority="684" dxfId="2" operator="equal" stopIfTrue="1">
      <formula>"NA"</formula>
    </cfRule>
  </conditionalFormatting>
  <conditionalFormatting sqref="F334:H334">
    <cfRule type="cellIs" priority="681" dxfId="3" operator="equal" stopIfTrue="1">
      <formula>"NA"</formula>
    </cfRule>
    <cfRule type="cellIs" priority="682" dxfId="2" operator="equal" stopIfTrue="1">
      <formula>"NA"</formula>
    </cfRule>
  </conditionalFormatting>
  <conditionalFormatting sqref="F346:H346">
    <cfRule type="cellIs" priority="679" dxfId="3" operator="equal" stopIfTrue="1">
      <formula>"NA"</formula>
    </cfRule>
    <cfRule type="cellIs" priority="680" dxfId="2" operator="equal" stopIfTrue="1">
      <formula>"NA"</formula>
    </cfRule>
  </conditionalFormatting>
  <conditionalFormatting sqref="F534:F540">
    <cfRule type="cellIs" priority="583" dxfId="3" operator="equal" stopIfTrue="1">
      <formula>"NA"</formula>
    </cfRule>
    <cfRule type="cellIs" priority="584" dxfId="2" operator="equal" stopIfTrue="1">
      <formula>"NA"</formula>
    </cfRule>
  </conditionalFormatting>
  <conditionalFormatting sqref="F543:F544">
    <cfRule type="cellIs" priority="581" dxfId="3" operator="equal" stopIfTrue="1">
      <formula>"NA"</formula>
    </cfRule>
    <cfRule type="cellIs" priority="582" dxfId="2" operator="equal" stopIfTrue="1">
      <formula>"NA"</formula>
    </cfRule>
  </conditionalFormatting>
  <conditionalFormatting sqref="F286:H286">
    <cfRule type="cellIs" priority="579" dxfId="3" operator="equal" stopIfTrue="1">
      <formula>"NA"</formula>
    </cfRule>
    <cfRule type="cellIs" priority="580" dxfId="2" operator="equal" stopIfTrue="1">
      <formula>"NA"</formula>
    </cfRule>
  </conditionalFormatting>
  <conditionalFormatting sqref="F298:H298">
    <cfRule type="cellIs" priority="577" dxfId="3" operator="equal" stopIfTrue="1">
      <formula>"NA"</formula>
    </cfRule>
    <cfRule type="cellIs" priority="578" dxfId="2" operator="equal" stopIfTrue="1">
      <formula>"NA"</formula>
    </cfRule>
  </conditionalFormatting>
  <conditionalFormatting sqref="F74">
    <cfRule type="cellIs" priority="559" dxfId="3" operator="equal" stopIfTrue="1">
      <formula>"NA"</formula>
    </cfRule>
    <cfRule type="cellIs" priority="560" dxfId="2" operator="equal" stopIfTrue="1">
      <formula>"NA"</formula>
    </cfRule>
  </conditionalFormatting>
  <conditionalFormatting sqref="F88">
    <cfRule type="cellIs" priority="551" dxfId="3" operator="equal" stopIfTrue="1">
      <formula>"NA"</formula>
    </cfRule>
    <cfRule type="cellIs" priority="552" dxfId="2" operator="equal" stopIfTrue="1">
      <formula>"NA"</formula>
    </cfRule>
  </conditionalFormatting>
  <conditionalFormatting sqref="F75">
    <cfRule type="cellIs" priority="549" dxfId="3" operator="equal" stopIfTrue="1">
      <formula>"NA"</formula>
    </cfRule>
    <cfRule type="cellIs" priority="550" dxfId="2" operator="equal" stopIfTrue="1">
      <formula>"NA"</formula>
    </cfRule>
  </conditionalFormatting>
  <conditionalFormatting sqref="F76:F77">
    <cfRule type="cellIs" priority="547" dxfId="3" operator="equal" stopIfTrue="1">
      <formula>"NA"</formula>
    </cfRule>
    <cfRule type="cellIs" priority="548" dxfId="2" operator="equal" stopIfTrue="1">
      <formula>"NA"</formula>
    </cfRule>
  </conditionalFormatting>
  <conditionalFormatting sqref="F78:F87">
    <cfRule type="cellIs" priority="545" dxfId="3" operator="equal" stopIfTrue="1">
      <formula>"NA"</formula>
    </cfRule>
    <cfRule type="cellIs" priority="546" dxfId="2" operator="equal" stopIfTrue="1">
      <formula>"NA"</formula>
    </cfRule>
  </conditionalFormatting>
  <conditionalFormatting sqref="F102:F103">
    <cfRule type="cellIs" priority="543" dxfId="3" operator="equal" stopIfTrue="1">
      <formula>"NA"</formula>
    </cfRule>
    <cfRule type="cellIs" priority="544" dxfId="2" operator="equal" stopIfTrue="1">
      <formula>"NA"</formula>
    </cfRule>
  </conditionalFormatting>
  <conditionalFormatting sqref="F89">
    <cfRule type="cellIs" priority="541" dxfId="3" operator="equal" stopIfTrue="1">
      <formula>"NA"</formula>
    </cfRule>
    <cfRule type="cellIs" priority="542" dxfId="2" operator="equal" stopIfTrue="1">
      <formula>"NA"</formula>
    </cfRule>
  </conditionalFormatting>
  <conditionalFormatting sqref="F90:F91">
    <cfRule type="cellIs" priority="539" dxfId="3" operator="equal" stopIfTrue="1">
      <formula>"NA"</formula>
    </cfRule>
    <cfRule type="cellIs" priority="540" dxfId="2" operator="equal" stopIfTrue="1">
      <formula>"NA"</formula>
    </cfRule>
  </conditionalFormatting>
  <conditionalFormatting sqref="F92:F101">
    <cfRule type="cellIs" priority="537" dxfId="3" operator="equal" stopIfTrue="1">
      <formula>"NA"</formula>
    </cfRule>
    <cfRule type="cellIs" priority="538" dxfId="2" operator="equal" stopIfTrue="1">
      <formula>"NA"</formula>
    </cfRule>
  </conditionalFormatting>
  <conditionalFormatting sqref="F107:F121">
    <cfRule type="cellIs" priority="533" dxfId="3" operator="equal" stopIfTrue="1">
      <formula>"NA"</formula>
    </cfRule>
    <cfRule type="cellIs" priority="534" dxfId="2" operator="equal" stopIfTrue="1">
      <formula>"NA"</formula>
    </cfRule>
  </conditionalFormatting>
  <conditionalFormatting sqref="F129:F130">
    <cfRule type="cellIs" priority="531" dxfId="3" operator="equal" stopIfTrue="1">
      <formula>"NA"</formula>
    </cfRule>
    <cfRule type="cellIs" priority="532" dxfId="2" operator="equal" stopIfTrue="1">
      <formula>"NA"</formula>
    </cfRule>
  </conditionalFormatting>
  <conditionalFormatting sqref="F131">
    <cfRule type="cellIs" priority="529" dxfId="3" operator="equal" stopIfTrue="1">
      <formula>"NA"</formula>
    </cfRule>
    <cfRule type="cellIs" priority="530" dxfId="2" operator="equal" stopIfTrue="1">
      <formula>"NA"</formula>
    </cfRule>
  </conditionalFormatting>
  <conditionalFormatting sqref="F132">
    <cfRule type="cellIs" priority="523" dxfId="3" operator="equal" stopIfTrue="1">
      <formula>"NA"</formula>
    </cfRule>
    <cfRule type="cellIs" priority="524" dxfId="2" operator="equal" stopIfTrue="1">
      <formula>"NA"</formula>
    </cfRule>
  </conditionalFormatting>
  <conditionalFormatting sqref="F231">
    <cfRule type="cellIs" priority="515" dxfId="3" operator="equal" stopIfTrue="1">
      <formula>"NA"</formula>
    </cfRule>
    <cfRule type="cellIs" priority="516" dxfId="2" operator="equal" stopIfTrue="1">
      <formula>"NA"</formula>
    </cfRule>
  </conditionalFormatting>
  <conditionalFormatting sqref="F232">
    <cfRule type="cellIs" priority="513" dxfId="3" operator="equal" stopIfTrue="1">
      <formula>"NA"</formula>
    </cfRule>
    <cfRule type="cellIs" priority="514" dxfId="2" operator="equal" stopIfTrue="1">
      <formula>"NA"</formula>
    </cfRule>
  </conditionalFormatting>
  <conditionalFormatting sqref="F233:F235">
    <cfRule type="cellIs" priority="511" dxfId="3" operator="equal" stopIfTrue="1">
      <formula>"NA"</formula>
    </cfRule>
    <cfRule type="cellIs" priority="512" dxfId="2" operator="equal" stopIfTrue="1">
      <formula>"NA"</formula>
    </cfRule>
  </conditionalFormatting>
  <conditionalFormatting sqref="F236">
    <cfRule type="cellIs" priority="507" dxfId="3" operator="equal" stopIfTrue="1">
      <formula>"NA"</formula>
    </cfRule>
    <cfRule type="cellIs" priority="508" dxfId="2" operator="equal" stopIfTrue="1">
      <formula>"NA"</formula>
    </cfRule>
  </conditionalFormatting>
  <conditionalFormatting sqref="F239:F247">
    <cfRule type="cellIs" priority="505" dxfId="3" operator="equal" stopIfTrue="1">
      <formula>"NA"</formula>
    </cfRule>
    <cfRule type="cellIs" priority="506" dxfId="2" operator="equal" stopIfTrue="1">
      <formula>"NA"</formula>
    </cfRule>
  </conditionalFormatting>
  <conditionalFormatting sqref="F255:F256">
    <cfRule type="cellIs" priority="503" dxfId="3" operator="equal" stopIfTrue="1">
      <formula>"NA"</formula>
    </cfRule>
    <cfRule type="cellIs" priority="504" dxfId="2" operator="equal" stopIfTrue="1">
      <formula>"NA"</formula>
    </cfRule>
  </conditionalFormatting>
  <conditionalFormatting sqref="F263:F265">
    <cfRule type="cellIs" priority="499" dxfId="3" operator="equal" stopIfTrue="1">
      <formula>"NA"</formula>
    </cfRule>
    <cfRule type="cellIs" priority="500" dxfId="2" operator="equal" stopIfTrue="1">
      <formula>"NA"</formula>
    </cfRule>
  </conditionalFormatting>
  <conditionalFormatting sqref="F267">
    <cfRule type="cellIs" priority="497" dxfId="3" operator="equal" stopIfTrue="1">
      <formula>"NA"</formula>
    </cfRule>
    <cfRule type="cellIs" priority="498" dxfId="2" operator="equal" stopIfTrue="1">
      <formula>"NA"</formula>
    </cfRule>
  </conditionalFormatting>
  <conditionalFormatting sqref="F266">
    <cfRule type="cellIs" priority="493" dxfId="3" operator="equal" stopIfTrue="1">
      <formula>"NA"</formula>
    </cfRule>
    <cfRule type="cellIs" priority="494" dxfId="2" operator="equal" stopIfTrue="1">
      <formula>"NA"</formula>
    </cfRule>
  </conditionalFormatting>
  <conditionalFormatting sqref="F268">
    <cfRule type="cellIs" priority="491" dxfId="3" operator="equal" stopIfTrue="1">
      <formula>"NA"</formula>
    </cfRule>
    <cfRule type="cellIs" priority="492" dxfId="2" operator="equal" stopIfTrue="1">
      <formula>"NA"</formula>
    </cfRule>
  </conditionalFormatting>
  <conditionalFormatting sqref="F269">
    <cfRule type="cellIs" priority="489" dxfId="3" operator="equal" stopIfTrue="1">
      <formula>"NA"</formula>
    </cfRule>
    <cfRule type="cellIs" priority="490" dxfId="2" operator="equal" stopIfTrue="1">
      <formula>"NA"</formula>
    </cfRule>
  </conditionalFormatting>
  <conditionalFormatting sqref="F276:F277">
    <cfRule type="cellIs" priority="487" dxfId="3" operator="equal" stopIfTrue="1">
      <formula>"NA"</formula>
    </cfRule>
    <cfRule type="cellIs" priority="488" dxfId="2" operator="equal" stopIfTrue="1">
      <formula>"NA"</formula>
    </cfRule>
  </conditionalFormatting>
  <conditionalFormatting sqref="F279">
    <cfRule type="cellIs" priority="485" dxfId="3" operator="equal" stopIfTrue="1">
      <formula>"NA"</formula>
    </cfRule>
    <cfRule type="cellIs" priority="486" dxfId="2" operator="equal" stopIfTrue="1">
      <formula>"NA"</formula>
    </cfRule>
  </conditionalFormatting>
  <conditionalFormatting sqref="F278">
    <cfRule type="cellIs" priority="481" dxfId="3" operator="equal" stopIfTrue="1">
      <formula>"NA"</formula>
    </cfRule>
    <cfRule type="cellIs" priority="482" dxfId="2" operator="equal" stopIfTrue="1">
      <formula>"NA"</formula>
    </cfRule>
  </conditionalFormatting>
  <conditionalFormatting sqref="F280">
    <cfRule type="cellIs" priority="479" dxfId="3" operator="equal" stopIfTrue="1">
      <formula>"NA"</formula>
    </cfRule>
    <cfRule type="cellIs" priority="480" dxfId="2" operator="equal" stopIfTrue="1">
      <formula>"NA"</formula>
    </cfRule>
  </conditionalFormatting>
  <conditionalFormatting sqref="F281">
    <cfRule type="cellIs" priority="477" dxfId="3" operator="equal" stopIfTrue="1">
      <formula>"NA"</formula>
    </cfRule>
    <cfRule type="cellIs" priority="478" dxfId="2" operator="equal" stopIfTrue="1">
      <formula>"NA"</formula>
    </cfRule>
  </conditionalFormatting>
  <conditionalFormatting sqref="F288:F289">
    <cfRule type="cellIs" priority="475" dxfId="3" operator="equal" stopIfTrue="1">
      <formula>"NA"</formula>
    </cfRule>
    <cfRule type="cellIs" priority="476" dxfId="2" operator="equal" stopIfTrue="1">
      <formula>"NA"</formula>
    </cfRule>
  </conditionalFormatting>
  <conditionalFormatting sqref="F291">
    <cfRule type="cellIs" priority="473" dxfId="3" operator="equal" stopIfTrue="1">
      <formula>"NA"</formula>
    </cfRule>
    <cfRule type="cellIs" priority="474" dxfId="2" operator="equal" stopIfTrue="1">
      <formula>"NA"</formula>
    </cfRule>
  </conditionalFormatting>
  <conditionalFormatting sqref="F290">
    <cfRule type="cellIs" priority="469" dxfId="3" operator="equal" stopIfTrue="1">
      <formula>"NA"</formula>
    </cfRule>
    <cfRule type="cellIs" priority="470" dxfId="2" operator="equal" stopIfTrue="1">
      <formula>"NA"</formula>
    </cfRule>
  </conditionalFormatting>
  <conditionalFormatting sqref="F292">
    <cfRule type="cellIs" priority="467" dxfId="3" operator="equal" stopIfTrue="1">
      <formula>"NA"</formula>
    </cfRule>
    <cfRule type="cellIs" priority="468" dxfId="2" operator="equal" stopIfTrue="1">
      <formula>"NA"</formula>
    </cfRule>
  </conditionalFormatting>
  <conditionalFormatting sqref="F293">
    <cfRule type="cellIs" priority="465" dxfId="3" operator="equal" stopIfTrue="1">
      <formula>"NA"</formula>
    </cfRule>
    <cfRule type="cellIs" priority="466" dxfId="2" operator="equal" stopIfTrue="1">
      <formula>"NA"</formula>
    </cfRule>
  </conditionalFormatting>
  <conditionalFormatting sqref="F300:F301">
    <cfRule type="cellIs" priority="463" dxfId="3" operator="equal" stopIfTrue="1">
      <formula>"NA"</formula>
    </cfRule>
    <cfRule type="cellIs" priority="464" dxfId="2" operator="equal" stopIfTrue="1">
      <formula>"NA"</formula>
    </cfRule>
  </conditionalFormatting>
  <conditionalFormatting sqref="F303">
    <cfRule type="cellIs" priority="461" dxfId="3" operator="equal" stopIfTrue="1">
      <formula>"NA"</formula>
    </cfRule>
    <cfRule type="cellIs" priority="462" dxfId="2" operator="equal" stopIfTrue="1">
      <formula>"NA"</formula>
    </cfRule>
  </conditionalFormatting>
  <conditionalFormatting sqref="F302">
    <cfRule type="cellIs" priority="457" dxfId="3" operator="equal" stopIfTrue="1">
      <formula>"NA"</formula>
    </cfRule>
    <cfRule type="cellIs" priority="458" dxfId="2" operator="equal" stopIfTrue="1">
      <formula>"NA"</formula>
    </cfRule>
  </conditionalFormatting>
  <conditionalFormatting sqref="F304">
    <cfRule type="cellIs" priority="455" dxfId="3" operator="equal" stopIfTrue="1">
      <formula>"NA"</formula>
    </cfRule>
    <cfRule type="cellIs" priority="456" dxfId="2" operator="equal" stopIfTrue="1">
      <formula>"NA"</formula>
    </cfRule>
  </conditionalFormatting>
  <conditionalFormatting sqref="F305">
    <cfRule type="cellIs" priority="453" dxfId="3" operator="equal" stopIfTrue="1">
      <formula>"NA"</formula>
    </cfRule>
    <cfRule type="cellIs" priority="454" dxfId="2" operator="equal" stopIfTrue="1">
      <formula>"NA"</formula>
    </cfRule>
  </conditionalFormatting>
  <conditionalFormatting sqref="F312:F313">
    <cfRule type="cellIs" priority="451" dxfId="3" operator="equal" stopIfTrue="1">
      <formula>"NA"</formula>
    </cfRule>
    <cfRule type="cellIs" priority="452" dxfId="2" operator="equal" stopIfTrue="1">
      <formula>"NA"</formula>
    </cfRule>
  </conditionalFormatting>
  <conditionalFormatting sqref="F315">
    <cfRule type="cellIs" priority="449" dxfId="3" operator="equal" stopIfTrue="1">
      <formula>"NA"</formula>
    </cfRule>
    <cfRule type="cellIs" priority="450" dxfId="2" operator="equal" stopIfTrue="1">
      <formula>"NA"</formula>
    </cfRule>
  </conditionalFormatting>
  <conditionalFormatting sqref="F314">
    <cfRule type="cellIs" priority="445" dxfId="3" operator="equal" stopIfTrue="1">
      <formula>"NA"</formula>
    </cfRule>
    <cfRule type="cellIs" priority="446" dxfId="2" operator="equal" stopIfTrue="1">
      <formula>"NA"</formula>
    </cfRule>
  </conditionalFormatting>
  <conditionalFormatting sqref="F316">
    <cfRule type="cellIs" priority="443" dxfId="3" operator="equal" stopIfTrue="1">
      <formula>"NA"</formula>
    </cfRule>
    <cfRule type="cellIs" priority="444" dxfId="2" operator="equal" stopIfTrue="1">
      <formula>"NA"</formula>
    </cfRule>
  </conditionalFormatting>
  <conditionalFormatting sqref="F317">
    <cfRule type="cellIs" priority="441" dxfId="3" operator="equal" stopIfTrue="1">
      <formula>"NA"</formula>
    </cfRule>
    <cfRule type="cellIs" priority="442" dxfId="2" operator="equal" stopIfTrue="1">
      <formula>"NA"</formula>
    </cfRule>
  </conditionalFormatting>
  <conditionalFormatting sqref="F324:F325">
    <cfRule type="cellIs" priority="439" dxfId="3" operator="equal" stopIfTrue="1">
      <formula>"NA"</formula>
    </cfRule>
    <cfRule type="cellIs" priority="440" dxfId="2" operator="equal" stopIfTrue="1">
      <formula>"NA"</formula>
    </cfRule>
  </conditionalFormatting>
  <conditionalFormatting sqref="F327">
    <cfRule type="cellIs" priority="437" dxfId="3" operator="equal" stopIfTrue="1">
      <formula>"NA"</formula>
    </cfRule>
    <cfRule type="cellIs" priority="438" dxfId="2" operator="equal" stopIfTrue="1">
      <formula>"NA"</formula>
    </cfRule>
  </conditionalFormatting>
  <conditionalFormatting sqref="F326">
    <cfRule type="cellIs" priority="433" dxfId="3" operator="equal" stopIfTrue="1">
      <formula>"NA"</formula>
    </cfRule>
    <cfRule type="cellIs" priority="434" dxfId="2" operator="equal" stopIfTrue="1">
      <formula>"NA"</formula>
    </cfRule>
  </conditionalFormatting>
  <conditionalFormatting sqref="F328">
    <cfRule type="cellIs" priority="431" dxfId="3" operator="equal" stopIfTrue="1">
      <formula>"NA"</formula>
    </cfRule>
    <cfRule type="cellIs" priority="432" dxfId="2" operator="equal" stopIfTrue="1">
      <formula>"NA"</formula>
    </cfRule>
  </conditionalFormatting>
  <conditionalFormatting sqref="F329">
    <cfRule type="cellIs" priority="429" dxfId="3" operator="equal" stopIfTrue="1">
      <formula>"NA"</formula>
    </cfRule>
    <cfRule type="cellIs" priority="430" dxfId="2" operator="equal" stopIfTrue="1">
      <formula>"NA"</formula>
    </cfRule>
  </conditionalFormatting>
  <conditionalFormatting sqref="F336:F337">
    <cfRule type="cellIs" priority="427" dxfId="3" operator="equal" stopIfTrue="1">
      <formula>"NA"</formula>
    </cfRule>
    <cfRule type="cellIs" priority="428" dxfId="2" operator="equal" stopIfTrue="1">
      <formula>"NA"</formula>
    </cfRule>
  </conditionalFormatting>
  <conditionalFormatting sqref="F339">
    <cfRule type="cellIs" priority="425" dxfId="3" operator="equal" stopIfTrue="1">
      <formula>"NA"</formula>
    </cfRule>
    <cfRule type="cellIs" priority="426" dxfId="2" operator="equal" stopIfTrue="1">
      <formula>"NA"</formula>
    </cfRule>
  </conditionalFormatting>
  <conditionalFormatting sqref="F338">
    <cfRule type="cellIs" priority="421" dxfId="3" operator="equal" stopIfTrue="1">
      <formula>"NA"</formula>
    </cfRule>
    <cfRule type="cellIs" priority="422" dxfId="2" operator="equal" stopIfTrue="1">
      <formula>"NA"</formula>
    </cfRule>
  </conditionalFormatting>
  <conditionalFormatting sqref="F340">
    <cfRule type="cellIs" priority="419" dxfId="3" operator="equal" stopIfTrue="1">
      <formula>"NA"</formula>
    </cfRule>
    <cfRule type="cellIs" priority="420" dxfId="2" operator="equal" stopIfTrue="1">
      <formula>"NA"</formula>
    </cfRule>
  </conditionalFormatting>
  <conditionalFormatting sqref="F341">
    <cfRule type="cellIs" priority="417" dxfId="3" operator="equal" stopIfTrue="1">
      <formula>"NA"</formula>
    </cfRule>
    <cfRule type="cellIs" priority="418" dxfId="2" operator="equal" stopIfTrue="1">
      <formula>"NA"</formula>
    </cfRule>
  </conditionalFormatting>
  <conditionalFormatting sqref="F348:F349">
    <cfRule type="cellIs" priority="415" dxfId="3" operator="equal" stopIfTrue="1">
      <formula>"NA"</formula>
    </cfRule>
    <cfRule type="cellIs" priority="416" dxfId="2" operator="equal" stopIfTrue="1">
      <formula>"NA"</formula>
    </cfRule>
  </conditionalFormatting>
  <conditionalFormatting sqref="F351">
    <cfRule type="cellIs" priority="413" dxfId="3" operator="equal" stopIfTrue="1">
      <formula>"NA"</formula>
    </cfRule>
    <cfRule type="cellIs" priority="414" dxfId="2" operator="equal" stopIfTrue="1">
      <formula>"NA"</formula>
    </cfRule>
  </conditionalFormatting>
  <conditionalFormatting sqref="F350">
    <cfRule type="cellIs" priority="409" dxfId="3" operator="equal" stopIfTrue="1">
      <formula>"NA"</formula>
    </cfRule>
    <cfRule type="cellIs" priority="410" dxfId="2" operator="equal" stopIfTrue="1">
      <formula>"NA"</formula>
    </cfRule>
  </conditionalFormatting>
  <conditionalFormatting sqref="F352">
    <cfRule type="cellIs" priority="407" dxfId="3" operator="equal" stopIfTrue="1">
      <formula>"NA"</formula>
    </cfRule>
    <cfRule type="cellIs" priority="408" dxfId="2" operator="equal" stopIfTrue="1">
      <formula>"NA"</formula>
    </cfRule>
  </conditionalFormatting>
  <conditionalFormatting sqref="F353">
    <cfRule type="cellIs" priority="405" dxfId="3" operator="equal" stopIfTrue="1">
      <formula>"NA"</formula>
    </cfRule>
    <cfRule type="cellIs" priority="406" dxfId="2" operator="equal" stopIfTrue="1">
      <formula>"NA"</formula>
    </cfRule>
  </conditionalFormatting>
  <conditionalFormatting sqref="F368">
    <cfRule type="cellIs" priority="403" dxfId="3" operator="equal" stopIfTrue="1">
      <formula>"NA"</formula>
    </cfRule>
    <cfRule type="cellIs" priority="404" dxfId="2" operator="equal" stopIfTrue="1">
      <formula>"NA"</formula>
    </cfRule>
  </conditionalFormatting>
  <conditionalFormatting sqref="F370">
    <cfRule type="cellIs" priority="401" dxfId="3" operator="equal" stopIfTrue="1">
      <formula>"NA"</formula>
    </cfRule>
    <cfRule type="cellIs" priority="402" dxfId="2" operator="equal" stopIfTrue="1">
      <formula>"NA"</formula>
    </cfRule>
  </conditionalFormatting>
  <conditionalFormatting sqref="F369">
    <cfRule type="cellIs" priority="397" dxfId="3" operator="equal" stopIfTrue="1">
      <formula>"NA"</formula>
    </cfRule>
    <cfRule type="cellIs" priority="398" dxfId="2" operator="equal" stopIfTrue="1">
      <formula>"NA"</formula>
    </cfRule>
  </conditionalFormatting>
  <conditionalFormatting sqref="F371">
    <cfRule type="cellIs" priority="395" dxfId="3" operator="equal" stopIfTrue="1">
      <formula>"NA"</formula>
    </cfRule>
    <cfRule type="cellIs" priority="396" dxfId="2" operator="equal" stopIfTrue="1">
      <formula>"NA"</formula>
    </cfRule>
  </conditionalFormatting>
  <conditionalFormatting sqref="F372">
    <cfRule type="cellIs" priority="393" dxfId="3" operator="equal" stopIfTrue="1">
      <formula>"NA"</formula>
    </cfRule>
    <cfRule type="cellIs" priority="394" dxfId="2" operator="equal" stopIfTrue="1">
      <formula>"NA"</formula>
    </cfRule>
  </conditionalFormatting>
  <conditionalFormatting sqref="F378">
    <cfRule type="cellIs" priority="391" dxfId="3" operator="equal" stopIfTrue="1">
      <formula>"NA"</formula>
    </cfRule>
    <cfRule type="cellIs" priority="392" dxfId="2" operator="equal" stopIfTrue="1">
      <formula>"NA"</formula>
    </cfRule>
  </conditionalFormatting>
  <conditionalFormatting sqref="F380">
    <cfRule type="cellIs" priority="389" dxfId="3" operator="equal" stopIfTrue="1">
      <formula>"NA"</formula>
    </cfRule>
    <cfRule type="cellIs" priority="390" dxfId="2" operator="equal" stopIfTrue="1">
      <formula>"NA"</formula>
    </cfRule>
  </conditionalFormatting>
  <conditionalFormatting sqref="F379">
    <cfRule type="cellIs" priority="385" dxfId="3" operator="equal" stopIfTrue="1">
      <formula>"NA"</formula>
    </cfRule>
    <cfRule type="cellIs" priority="386" dxfId="2" operator="equal" stopIfTrue="1">
      <formula>"NA"</formula>
    </cfRule>
  </conditionalFormatting>
  <conditionalFormatting sqref="F381">
    <cfRule type="cellIs" priority="383" dxfId="3" operator="equal" stopIfTrue="1">
      <formula>"NA"</formula>
    </cfRule>
    <cfRule type="cellIs" priority="384" dxfId="2" operator="equal" stopIfTrue="1">
      <formula>"NA"</formula>
    </cfRule>
  </conditionalFormatting>
  <conditionalFormatting sqref="F382">
    <cfRule type="cellIs" priority="381" dxfId="3" operator="equal" stopIfTrue="1">
      <formula>"NA"</formula>
    </cfRule>
    <cfRule type="cellIs" priority="382" dxfId="2" operator="equal" stopIfTrue="1">
      <formula>"NA"</formula>
    </cfRule>
  </conditionalFormatting>
  <conditionalFormatting sqref="F392">
    <cfRule type="cellIs" priority="379" dxfId="3" operator="equal" stopIfTrue="1">
      <formula>"NA"</formula>
    </cfRule>
    <cfRule type="cellIs" priority="380" dxfId="2" operator="equal" stopIfTrue="1">
      <formula>"NA"</formula>
    </cfRule>
  </conditionalFormatting>
  <conditionalFormatting sqref="F394">
    <cfRule type="cellIs" priority="377" dxfId="3" operator="equal" stopIfTrue="1">
      <formula>"NA"</formula>
    </cfRule>
    <cfRule type="cellIs" priority="378" dxfId="2" operator="equal" stopIfTrue="1">
      <formula>"NA"</formula>
    </cfRule>
  </conditionalFormatting>
  <conditionalFormatting sqref="F393">
    <cfRule type="cellIs" priority="373" dxfId="3" operator="equal" stopIfTrue="1">
      <formula>"NA"</formula>
    </cfRule>
    <cfRule type="cellIs" priority="374" dxfId="2" operator="equal" stopIfTrue="1">
      <formula>"NA"</formula>
    </cfRule>
  </conditionalFormatting>
  <conditionalFormatting sqref="F395">
    <cfRule type="cellIs" priority="371" dxfId="3" operator="equal" stopIfTrue="1">
      <formula>"NA"</formula>
    </cfRule>
    <cfRule type="cellIs" priority="372" dxfId="2" operator="equal" stopIfTrue="1">
      <formula>"NA"</formula>
    </cfRule>
  </conditionalFormatting>
  <conditionalFormatting sqref="F396">
    <cfRule type="cellIs" priority="369" dxfId="3" operator="equal" stopIfTrue="1">
      <formula>"NA"</formula>
    </cfRule>
    <cfRule type="cellIs" priority="370" dxfId="2" operator="equal" stopIfTrue="1">
      <formula>"NA"</formula>
    </cfRule>
  </conditionalFormatting>
  <conditionalFormatting sqref="F397">
    <cfRule type="cellIs" priority="367" dxfId="3" operator="equal" stopIfTrue="1">
      <formula>"NA"</formula>
    </cfRule>
    <cfRule type="cellIs" priority="368" dxfId="2" operator="equal" stopIfTrue="1">
      <formula>"NA"</formula>
    </cfRule>
  </conditionalFormatting>
  <conditionalFormatting sqref="F405">
    <cfRule type="cellIs" priority="365" dxfId="3" operator="equal" stopIfTrue="1">
      <formula>"NA"</formula>
    </cfRule>
    <cfRule type="cellIs" priority="366" dxfId="2" operator="equal" stopIfTrue="1">
      <formula>"NA"</formula>
    </cfRule>
  </conditionalFormatting>
  <conditionalFormatting sqref="F406">
    <cfRule type="cellIs" priority="361" dxfId="3" operator="equal" stopIfTrue="1">
      <formula>"NA"</formula>
    </cfRule>
    <cfRule type="cellIs" priority="362" dxfId="2" operator="equal" stopIfTrue="1">
      <formula>"NA"</formula>
    </cfRule>
  </conditionalFormatting>
  <conditionalFormatting sqref="F407">
    <cfRule type="cellIs" priority="359" dxfId="3" operator="equal" stopIfTrue="1">
      <formula>"NA"</formula>
    </cfRule>
    <cfRule type="cellIs" priority="360" dxfId="2" operator="equal" stopIfTrue="1">
      <formula>"NA"</formula>
    </cfRule>
  </conditionalFormatting>
  <conditionalFormatting sqref="F408">
    <cfRule type="cellIs" priority="357" dxfId="3" operator="equal" stopIfTrue="1">
      <formula>"NA"</formula>
    </cfRule>
    <cfRule type="cellIs" priority="358" dxfId="2" operator="equal" stopIfTrue="1">
      <formula>"NA"</formula>
    </cfRule>
  </conditionalFormatting>
  <conditionalFormatting sqref="F409">
    <cfRule type="cellIs" priority="355" dxfId="3" operator="equal" stopIfTrue="1">
      <formula>"NA"</formula>
    </cfRule>
    <cfRule type="cellIs" priority="356" dxfId="2" operator="equal" stopIfTrue="1">
      <formula>"NA"</formula>
    </cfRule>
  </conditionalFormatting>
  <conditionalFormatting sqref="F417">
    <cfRule type="cellIs" priority="353" dxfId="3" operator="equal" stopIfTrue="1">
      <formula>"NA"</formula>
    </cfRule>
    <cfRule type="cellIs" priority="354" dxfId="2" operator="equal" stopIfTrue="1">
      <formula>"NA"</formula>
    </cfRule>
  </conditionalFormatting>
  <conditionalFormatting sqref="F418">
    <cfRule type="cellIs" priority="349" dxfId="3" operator="equal" stopIfTrue="1">
      <formula>"NA"</formula>
    </cfRule>
    <cfRule type="cellIs" priority="350" dxfId="2" operator="equal" stopIfTrue="1">
      <formula>"NA"</formula>
    </cfRule>
  </conditionalFormatting>
  <conditionalFormatting sqref="F419">
    <cfRule type="cellIs" priority="347" dxfId="3" operator="equal" stopIfTrue="1">
      <formula>"NA"</formula>
    </cfRule>
    <cfRule type="cellIs" priority="348" dxfId="2" operator="equal" stopIfTrue="1">
      <formula>"NA"</formula>
    </cfRule>
  </conditionalFormatting>
  <conditionalFormatting sqref="F420">
    <cfRule type="cellIs" priority="345" dxfId="3" operator="equal" stopIfTrue="1">
      <formula>"NA"</formula>
    </cfRule>
    <cfRule type="cellIs" priority="346" dxfId="2" operator="equal" stopIfTrue="1">
      <formula>"NA"</formula>
    </cfRule>
  </conditionalFormatting>
  <conditionalFormatting sqref="F421">
    <cfRule type="cellIs" priority="343" dxfId="3" operator="equal" stopIfTrue="1">
      <formula>"NA"</formula>
    </cfRule>
    <cfRule type="cellIs" priority="344" dxfId="2" operator="equal" stopIfTrue="1">
      <formula>"NA"</formula>
    </cfRule>
  </conditionalFormatting>
  <conditionalFormatting sqref="F429">
    <cfRule type="cellIs" priority="341" dxfId="3" operator="equal" stopIfTrue="1">
      <formula>"NA"</formula>
    </cfRule>
    <cfRule type="cellIs" priority="342" dxfId="2" operator="equal" stopIfTrue="1">
      <formula>"NA"</formula>
    </cfRule>
  </conditionalFormatting>
  <conditionalFormatting sqref="F431">
    <cfRule type="cellIs" priority="339" dxfId="3" operator="equal" stopIfTrue="1">
      <formula>"NA"</formula>
    </cfRule>
    <cfRule type="cellIs" priority="340" dxfId="2" operator="equal" stopIfTrue="1">
      <formula>"NA"</formula>
    </cfRule>
  </conditionalFormatting>
  <conditionalFormatting sqref="F430">
    <cfRule type="cellIs" priority="335" dxfId="3" operator="equal" stopIfTrue="1">
      <formula>"NA"</formula>
    </cfRule>
    <cfRule type="cellIs" priority="336" dxfId="2" operator="equal" stopIfTrue="1">
      <formula>"NA"</formula>
    </cfRule>
  </conditionalFormatting>
  <conditionalFormatting sqref="F432">
    <cfRule type="cellIs" priority="333" dxfId="3" operator="equal" stopIfTrue="1">
      <formula>"NA"</formula>
    </cfRule>
    <cfRule type="cellIs" priority="334" dxfId="2" operator="equal" stopIfTrue="1">
      <formula>"NA"</formula>
    </cfRule>
  </conditionalFormatting>
  <conditionalFormatting sqref="F433">
    <cfRule type="cellIs" priority="331" dxfId="3" operator="equal" stopIfTrue="1">
      <formula>"NA"</formula>
    </cfRule>
    <cfRule type="cellIs" priority="332" dxfId="2" operator="equal" stopIfTrue="1">
      <formula>"NA"</formula>
    </cfRule>
  </conditionalFormatting>
  <conditionalFormatting sqref="F434">
    <cfRule type="cellIs" priority="329" dxfId="3" operator="equal" stopIfTrue="1">
      <formula>"NA"</formula>
    </cfRule>
    <cfRule type="cellIs" priority="330" dxfId="2" operator="equal" stopIfTrue="1">
      <formula>"NA"</formula>
    </cfRule>
  </conditionalFormatting>
  <conditionalFormatting sqref="F435">
    <cfRule type="cellIs" priority="327" dxfId="3" operator="equal" stopIfTrue="1">
      <formula>"NA"</formula>
    </cfRule>
    <cfRule type="cellIs" priority="328" dxfId="2" operator="equal" stopIfTrue="1">
      <formula>"NA"</formula>
    </cfRule>
  </conditionalFormatting>
  <conditionalFormatting sqref="F444">
    <cfRule type="cellIs" priority="325" dxfId="3" operator="equal" stopIfTrue="1">
      <formula>"NA"</formula>
    </cfRule>
    <cfRule type="cellIs" priority="326" dxfId="2" operator="equal" stopIfTrue="1">
      <formula>"NA"</formula>
    </cfRule>
  </conditionalFormatting>
  <conditionalFormatting sqref="F446">
    <cfRule type="cellIs" priority="323" dxfId="3" operator="equal" stopIfTrue="1">
      <formula>"NA"</formula>
    </cfRule>
    <cfRule type="cellIs" priority="324" dxfId="2" operator="equal" stopIfTrue="1">
      <formula>"NA"</formula>
    </cfRule>
  </conditionalFormatting>
  <conditionalFormatting sqref="F445">
    <cfRule type="cellIs" priority="319" dxfId="3" operator="equal" stopIfTrue="1">
      <formula>"NA"</formula>
    </cfRule>
    <cfRule type="cellIs" priority="320" dxfId="2" operator="equal" stopIfTrue="1">
      <formula>"NA"</formula>
    </cfRule>
  </conditionalFormatting>
  <conditionalFormatting sqref="F447">
    <cfRule type="cellIs" priority="317" dxfId="3" operator="equal" stopIfTrue="1">
      <formula>"NA"</formula>
    </cfRule>
    <cfRule type="cellIs" priority="318" dxfId="2" operator="equal" stopIfTrue="1">
      <formula>"NA"</formula>
    </cfRule>
  </conditionalFormatting>
  <conditionalFormatting sqref="F448">
    <cfRule type="cellIs" priority="315" dxfId="3" operator="equal" stopIfTrue="1">
      <formula>"NA"</formula>
    </cfRule>
    <cfRule type="cellIs" priority="316" dxfId="2" operator="equal" stopIfTrue="1">
      <formula>"NA"</formula>
    </cfRule>
  </conditionalFormatting>
  <conditionalFormatting sqref="F449">
    <cfRule type="cellIs" priority="313" dxfId="3" operator="equal" stopIfTrue="1">
      <formula>"NA"</formula>
    </cfRule>
    <cfRule type="cellIs" priority="314" dxfId="2" operator="equal" stopIfTrue="1">
      <formula>"NA"</formula>
    </cfRule>
  </conditionalFormatting>
  <conditionalFormatting sqref="F450">
    <cfRule type="cellIs" priority="311" dxfId="3" operator="equal" stopIfTrue="1">
      <formula>"NA"</formula>
    </cfRule>
    <cfRule type="cellIs" priority="312" dxfId="2" operator="equal" stopIfTrue="1">
      <formula>"NA"</formula>
    </cfRule>
  </conditionalFormatting>
  <conditionalFormatting sqref="F459">
    <cfRule type="cellIs" priority="309" dxfId="3" operator="equal" stopIfTrue="1">
      <formula>"NA"</formula>
    </cfRule>
    <cfRule type="cellIs" priority="310" dxfId="2" operator="equal" stopIfTrue="1">
      <formula>"NA"</formula>
    </cfRule>
  </conditionalFormatting>
  <conditionalFormatting sqref="F461">
    <cfRule type="cellIs" priority="307" dxfId="3" operator="equal" stopIfTrue="1">
      <formula>"NA"</formula>
    </cfRule>
    <cfRule type="cellIs" priority="308" dxfId="2" operator="equal" stopIfTrue="1">
      <formula>"NA"</formula>
    </cfRule>
  </conditionalFormatting>
  <conditionalFormatting sqref="F460">
    <cfRule type="cellIs" priority="303" dxfId="3" operator="equal" stopIfTrue="1">
      <formula>"NA"</formula>
    </cfRule>
    <cfRule type="cellIs" priority="304" dxfId="2" operator="equal" stopIfTrue="1">
      <formula>"NA"</formula>
    </cfRule>
  </conditionalFormatting>
  <conditionalFormatting sqref="F462">
    <cfRule type="cellIs" priority="301" dxfId="3" operator="equal" stopIfTrue="1">
      <formula>"NA"</formula>
    </cfRule>
    <cfRule type="cellIs" priority="302" dxfId="2" operator="equal" stopIfTrue="1">
      <formula>"NA"</formula>
    </cfRule>
  </conditionalFormatting>
  <conditionalFormatting sqref="F463">
    <cfRule type="cellIs" priority="299" dxfId="3" operator="equal" stopIfTrue="1">
      <formula>"NA"</formula>
    </cfRule>
    <cfRule type="cellIs" priority="300" dxfId="2" operator="equal" stopIfTrue="1">
      <formula>"NA"</formula>
    </cfRule>
  </conditionalFormatting>
  <conditionalFormatting sqref="F464">
    <cfRule type="cellIs" priority="297" dxfId="3" operator="equal" stopIfTrue="1">
      <formula>"NA"</formula>
    </cfRule>
    <cfRule type="cellIs" priority="298" dxfId="2" operator="equal" stopIfTrue="1">
      <formula>"NA"</formula>
    </cfRule>
  </conditionalFormatting>
  <conditionalFormatting sqref="F476">
    <cfRule type="cellIs" priority="295" dxfId="3" operator="equal" stopIfTrue="1">
      <formula>"NA"</formula>
    </cfRule>
    <cfRule type="cellIs" priority="296" dxfId="2" operator="equal" stopIfTrue="1">
      <formula>"NA"</formula>
    </cfRule>
  </conditionalFormatting>
  <conditionalFormatting sqref="F477">
    <cfRule type="cellIs" priority="291" dxfId="3" operator="equal" stopIfTrue="1">
      <formula>"NA"</formula>
    </cfRule>
    <cfRule type="cellIs" priority="292" dxfId="2" operator="equal" stopIfTrue="1">
      <formula>"NA"</formula>
    </cfRule>
  </conditionalFormatting>
  <conditionalFormatting sqref="F478">
    <cfRule type="cellIs" priority="289" dxfId="3" operator="equal" stopIfTrue="1">
      <formula>"NA"</formula>
    </cfRule>
    <cfRule type="cellIs" priority="290" dxfId="2" operator="equal" stopIfTrue="1">
      <formula>"NA"</formula>
    </cfRule>
  </conditionalFormatting>
  <conditionalFormatting sqref="F479">
    <cfRule type="cellIs" priority="287" dxfId="3" operator="equal" stopIfTrue="1">
      <formula>"NA"</formula>
    </cfRule>
    <cfRule type="cellIs" priority="288" dxfId="2" operator="equal" stopIfTrue="1">
      <formula>"NA"</formula>
    </cfRule>
  </conditionalFormatting>
  <conditionalFormatting sqref="F480">
    <cfRule type="cellIs" priority="285" dxfId="3" operator="equal" stopIfTrue="1">
      <formula>"NA"</formula>
    </cfRule>
    <cfRule type="cellIs" priority="286" dxfId="2" operator="equal" stopIfTrue="1">
      <formula>"NA"</formula>
    </cfRule>
  </conditionalFormatting>
  <conditionalFormatting sqref="F488">
    <cfRule type="cellIs" priority="283" dxfId="3" operator="equal" stopIfTrue="1">
      <formula>"NA"</formula>
    </cfRule>
    <cfRule type="cellIs" priority="284" dxfId="2" operator="equal" stopIfTrue="1">
      <formula>"NA"</formula>
    </cfRule>
  </conditionalFormatting>
  <conditionalFormatting sqref="F489">
    <cfRule type="cellIs" priority="279" dxfId="3" operator="equal" stopIfTrue="1">
      <formula>"NA"</formula>
    </cfRule>
    <cfRule type="cellIs" priority="280" dxfId="2" operator="equal" stopIfTrue="1">
      <formula>"NA"</formula>
    </cfRule>
  </conditionalFormatting>
  <conditionalFormatting sqref="F490">
    <cfRule type="cellIs" priority="277" dxfId="3" operator="equal" stopIfTrue="1">
      <formula>"NA"</formula>
    </cfRule>
    <cfRule type="cellIs" priority="278" dxfId="2" operator="equal" stopIfTrue="1">
      <formula>"NA"</formula>
    </cfRule>
  </conditionalFormatting>
  <conditionalFormatting sqref="F491">
    <cfRule type="cellIs" priority="275" dxfId="3" operator="equal" stopIfTrue="1">
      <formula>"NA"</formula>
    </cfRule>
    <cfRule type="cellIs" priority="276" dxfId="2" operator="equal" stopIfTrue="1">
      <formula>"NA"</formula>
    </cfRule>
  </conditionalFormatting>
  <conditionalFormatting sqref="F509">
    <cfRule type="cellIs" priority="273" dxfId="3" operator="equal" stopIfTrue="1">
      <formula>"NA"</formula>
    </cfRule>
    <cfRule type="cellIs" priority="274" dxfId="2" operator="equal" stopIfTrue="1">
      <formula>"NA"</formula>
    </cfRule>
  </conditionalFormatting>
  <conditionalFormatting sqref="F510">
    <cfRule type="cellIs" priority="271" dxfId="3" operator="equal" stopIfTrue="1">
      <formula>"NA"</formula>
    </cfRule>
    <cfRule type="cellIs" priority="272" dxfId="2" operator="equal" stopIfTrue="1">
      <formula>"NA"</formula>
    </cfRule>
  </conditionalFormatting>
  <conditionalFormatting sqref="F511">
    <cfRule type="cellIs" priority="269" dxfId="3" operator="equal" stopIfTrue="1">
      <formula>"NA"</formula>
    </cfRule>
    <cfRule type="cellIs" priority="270" dxfId="2" operator="equal" stopIfTrue="1">
      <formula>"NA"</formula>
    </cfRule>
  </conditionalFormatting>
  <conditionalFormatting sqref="F513">
    <cfRule type="cellIs" priority="267" dxfId="3" operator="equal" stopIfTrue="1">
      <formula>"NA"</formula>
    </cfRule>
    <cfRule type="cellIs" priority="268" dxfId="2" operator="equal" stopIfTrue="1">
      <formula>"NA"</formula>
    </cfRule>
  </conditionalFormatting>
  <conditionalFormatting sqref="F514">
    <cfRule type="cellIs" priority="265" dxfId="3" operator="equal" stopIfTrue="1">
      <formula>"NA"</formula>
    </cfRule>
    <cfRule type="cellIs" priority="266" dxfId="2" operator="equal" stopIfTrue="1">
      <formula>"NA"</formula>
    </cfRule>
  </conditionalFormatting>
  <conditionalFormatting sqref="F516">
    <cfRule type="cellIs" priority="263" dxfId="3" operator="equal" stopIfTrue="1">
      <formula>"NA"</formula>
    </cfRule>
    <cfRule type="cellIs" priority="264" dxfId="2" operator="equal" stopIfTrue="1">
      <formula>"NA"</formula>
    </cfRule>
  </conditionalFormatting>
  <conditionalFormatting sqref="F517">
    <cfRule type="cellIs" priority="261" dxfId="3" operator="equal" stopIfTrue="1">
      <formula>"NA"</formula>
    </cfRule>
    <cfRule type="cellIs" priority="262" dxfId="2" operator="equal" stopIfTrue="1">
      <formula>"NA"</formula>
    </cfRule>
  </conditionalFormatting>
  <conditionalFormatting sqref="F518">
    <cfRule type="cellIs" priority="259" dxfId="3" operator="equal" stopIfTrue="1">
      <formula>"NA"</formula>
    </cfRule>
    <cfRule type="cellIs" priority="260" dxfId="2" operator="equal" stopIfTrue="1">
      <formula>"NA"</formula>
    </cfRule>
  </conditionalFormatting>
  <conditionalFormatting sqref="F519">
    <cfRule type="cellIs" priority="257" dxfId="3" operator="equal" stopIfTrue="1">
      <formula>"NA"</formula>
    </cfRule>
    <cfRule type="cellIs" priority="258" dxfId="2" operator="equal" stopIfTrue="1">
      <formula>"NA"</formula>
    </cfRule>
  </conditionalFormatting>
  <conditionalFormatting sqref="F275">
    <cfRule type="cellIs" priority="249" dxfId="3" operator="equal" stopIfTrue="1">
      <formula>"NA"</formula>
    </cfRule>
    <cfRule type="cellIs" priority="250" dxfId="2" operator="equal" stopIfTrue="1">
      <formula>"NA"</formula>
    </cfRule>
  </conditionalFormatting>
  <conditionalFormatting sqref="F287">
    <cfRule type="cellIs" priority="247" dxfId="3" operator="equal" stopIfTrue="1">
      <formula>"NA"</formula>
    </cfRule>
    <cfRule type="cellIs" priority="248" dxfId="2" operator="equal" stopIfTrue="1">
      <formula>"NA"</formula>
    </cfRule>
  </conditionalFormatting>
  <conditionalFormatting sqref="F299">
    <cfRule type="cellIs" priority="245" dxfId="3" operator="equal" stopIfTrue="1">
      <formula>"NA"</formula>
    </cfRule>
    <cfRule type="cellIs" priority="246" dxfId="2" operator="equal" stopIfTrue="1">
      <formula>"NA"</formula>
    </cfRule>
  </conditionalFormatting>
  <conditionalFormatting sqref="F311">
    <cfRule type="cellIs" priority="243" dxfId="3" operator="equal" stopIfTrue="1">
      <formula>"NA"</formula>
    </cfRule>
    <cfRule type="cellIs" priority="244" dxfId="2" operator="equal" stopIfTrue="1">
      <formula>"NA"</formula>
    </cfRule>
  </conditionalFormatting>
  <conditionalFormatting sqref="F323">
    <cfRule type="cellIs" priority="241" dxfId="3" operator="equal" stopIfTrue="1">
      <formula>"NA"</formula>
    </cfRule>
    <cfRule type="cellIs" priority="242" dxfId="2" operator="equal" stopIfTrue="1">
      <formula>"NA"</formula>
    </cfRule>
  </conditionalFormatting>
  <conditionalFormatting sqref="F335">
    <cfRule type="cellIs" priority="239" dxfId="3" operator="equal" stopIfTrue="1">
      <formula>"NA"</formula>
    </cfRule>
    <cfRule type="cellIs" priority="240" dxfId="2" operator="equal" stopIfTrue="1">
      <formula>"NA"</formula>
    </cfRule>
  </conditionalFormatting>
  <conditionalFormatting sqref="F347">
    <cfRule type="cellIs" priority="237" dxfId="3" operator="equal" stopIfTrue="1">
      <formula>"NA"</formula>
    </cfRule>
    <cfRule type="cellIs" priority="238" dxfId="2" operator="equal" stopIfTrue="1">
      <formula>"NA"</formula>
    </cfRule>
  </conditionalFormatting>
  <conditionalFormatting sqref="F367">
    <cfRule type="cellIs" priority="235" dxfId="3" operator="equal" stopIfTrue="1">
      <formula>"NA"</formula>
    </cfRule>
    <cfRule type="cellIs" priority="236" dxfId="2" operator="equal" stopIfTrue="1">
      <formula>"NA"</formula>
    </cfRule>
  </conditionalFormatting>
  <conditionalFormatting sqref="F377">
    <cfRule type="cellIs" priority="233" dxfId="3" operator="equal" stopIfTrue="1">
      <formula>"NA"</formula>
    </cfRule>
    <cfRule type="cellIs" priority="234" dxfId="2" operator="equal" stopIfTrue="1">
      <formula>"NA"</formula>
    </cfRule>
  </conditionalFormatting>
  <conditionalFormatting sqref="F391">
    <cfRule type="cellIs" priority="231" dxfId="3" operator="equal" stopIfTrue="1">
      <formula>"NA"</formula>
    </cfRule>
    <cfRule type="cellIs" priority="232" dxfId="2" operator="equal" stopIfTrue="1">
      <formula>"NA"</formula>
    </cfRule>
  </conditionalFormatting>
  <conditionalFormatting sqref="F404">
    <cfRule type="cellIs" priority="229" dxfId="3" operator="equal" stopIfTrue="1">
      <formula>"NA"</formula>
    </cfRule>
    <cfRule type="cellIs" priority="230" dxfId="2" operator="equal" stopIfTrue="1">
      <formula>"NA"</formula>
    </cfRule>
  </conditionalFormatting>
  <conditionalFormatting sqref="F416">
    <cfRule type="cellIs" priority="227" dxfId="3" operator="equal" stopIfTrue="1">
      <formula>"NA"</formula>
    </cfRule>
    <cfRule type="cellIs" priority="228" dxfId="2" operator="equal" stopIfTrue="1">
      <formula>"NA"</formula>
    </cfRule>
  </conditionalFormatting>
  <conditionalFormatting sqref="F428">
    <cfRule type="cellIs" priority="225" dxfId="3" operator="equal" stopIfTrue="1">
      <formula>"NA"</formula>
    </cfRule>
    <cfRule type="cellIs" priority="226" dxfId="2" operator="equal" stopIfTrue="1">
      <formula>"NA"</formula>
    </cfRule>
  </conditionalFormatting>
  <conditionalFormatting sqref="F443">
    <cfRule type="cellIs" priority="223" dxfId="3" operator="equal" stopIfTrue="1">
      <formula>"NA"</formula>
    </cfRule>
    <cfRule type="cellIs" priority="224" dxfId="2" operator="equal" stopIfTrue="1">
      <formula>"NA"</formula>
    </cfRule>
  </conditionalFormatting>
  <conditionalFormatting sqref="F458">
    <cfRule type="cellIs" priority="221" dxfId="3" operator="equal" stopIfTrue="1">
      <formula>"NA"</formula>
    </cfRule>
    <cfRule type="cellIs" priority="222" dxfId="2" operator="equal" stopIfTrue="1">
      <formula>"NA"</formula>
    </cfRule>
  </conditionalFormatting>
  <conditionalFormatting sqref="F475">
    <cfRule type="cellIs" priority="219" dxfId="3" operator="equal" stopIfTrue="1">
      <formula>"NA"</formula>
    </cfRule>
    <cfRule type="cellIs" priority="220" dxfId="2" operator="equal" stopIfTrue="1">
      <formula>"NA"</formula>
    </cfRule>
  </conditionalFormatting>
  <conditionalFormatting sqref="F487">
    <cfRule type="cellIs" priority="217" dxfId="3" operator="equal" stopIfTrue="1">
      <formula>"NA"</formula>
    </cfRule>
    <cfRule type="cellIs" priority="218" dxfId="2" operator="equal" stopIfTrue="1">
      <formula>"NA"</formula>
    </cfRule>
  </conditionalFormatting>
  <conditionalFormatting sqref="F151:H151">
    <cfRule type="cellIs" priority="215" dxfId="3" operator="equal" stopIfTrue="1">
      <formula>"NA"</formula>
    </cfRule>
    <cfRule type="cellIs" priority="216" dxfId="2" operator="equal" stopIfTrue="1">
      <formula>"NA"</formula>
    </cfRule>
  </conditionalFormatting>
  <conditionalFormatting sqref="F155:F156">
    <cfRule type="cellIs" priority="213" dxfId="3" operator="equal" stopIfTrue="1">
      <formula>"NA"</formula>
    </cfRule>
    <cfRule type="cellIs" priority="214" dxfId="2" operator="equal" stopIfTrue="1">
      <formula>"NA"</formula>
    </cfRule>
  </conditionalFormatting>
  <conditionalFormatting sqref="F153:F154">
    <cfRule type="cellIs" priority="211" dxfId="3" operator="equal" stopIfTrue="1">
      <formula>"NA"</formula>
    </cfRule>
    <cfRule type="cellIs" priority="212" dxfId="2" operator="equal" stopIfTrue="1">
      <formula>"NA"</formula>
    </cfRule>
  </conditionalFormatting>
  <conditionalFormatting sqref="F157">
    <cfRule type="cellIs" priority="209" dxfId="3" operator="equal" stopIfTrue="1">
      <formula>"NA"</formula>
    </cfRule>
    <cfRule type="cellIs" priority="210" dxfId="2" operator="equal" stopIfTrue="1">
      <formula>"NA"</formula>
    </cfRule>
  </conditionalFormatting>
  <conditionalFormatting sqref="F185:F186">
    <cfRule type="cellIs" priority="191" dxfId="3" operator="equal" stopIfTrue="1">
      <formula>"NA"</formula>
    </cfRule>
    <cfRule type="cellIs" priority="192" dxfId="2" operator="equal" stopIfTrue="1">
      <formula>"NA"</formula>
    </cfRule>
  </conditionalFormatting>
  <conditionalFormatting sqref="F167:H167">
    <cfRule type="cellIs" priority="205" dxfId="3" operator="equal" stopIfTrue="1">
      <formula>"NA"</formula>
    </cfRule>
    <cfRule type="cellIs" priority="206" dxfId="2" operator="equal" stopIfTrue="1">
      <formula>"NA"</formula>
    </cfRule>
  </conditionalFormatting>
  <conditionalFormatting sqref="F171:F172">
    <cfRule type="cellIs" priority="203" dxfId="3" operator="equal" stopIfTrue="1">
      <formula>"NA"</formula>
    </cfRule>
    <cfRule type="cellIs" priority="204" dxfId="2" operator="equal" stopIfTrue="1">
      <formula>"NA"</formula>
    </cfRule>
  </conditionalFormatting>
  <conditionalFormatting sqref="F169:F170">
    <cfRule type="cellIs" priority="201" dxfId="3" operator="equal" stopIfTrue="1">
      <formula>"NA"</formula>
    </cfRule>
    <cfRule type="cellIs" priority="202" dxfId="2" operator="equal" stopIfTrue="1">
      <formula>"NA"</formula>
    </cfRule>
  </conditionalFormatting>
  <conditionalFormatting sqref="F173">
    <cfRule type="cellIs" priority="199" dxfId="3" operator="equal" stopIfTrue="1">
      <formula>"NA"</formula>
    </cfRule>
    <cfRule type="cellIs" priority="200" dxfId="2" operator="equal" stopIfTrue="1">
      <formula>"NA"</formula>
    </cfRule>
  </conditionalFormatting>
  <conditionalFormatting sqref="F135:H135">
    <cfRule type="cellIs" priority="185" dxfId="3" operator="equal" stopIfTrue="1">
      <formula>"NA"</formula>
    </cfRule>
    <cfRule type="cellIs" priority="186" dxfId="2" operator="equal" stopIfTrue="1">
      <formula>"NA"</formula>
    </cfRule>
  </conditionalFormatting>
  <conditionalFormatting sqref="F183:H183">
    <cfRule type="cellIs" priority="195" dxfId="3" operator="equal" stopIfTrue="1">
      <formula>"NA"</formula>
    </cfRule>
    <cfRule type="cellIs" priority="196" dxfId="2" operator="equal" stopIfTrue="1">
      <formula>"NA"</formula>
    </cfRule>
  </conditionalFormatting>
  <conditionalFormatting sqref="F187:F188">
    <cfRule type="cellIs" priority="193" dxfId="3" operator="equal" stopIfTrue="1">
      <formula>"NA"</formula>
    </cfRule>
    <cfRule type="cellIs" priority="194" dxfId="2" operator="equal" stopIfTrue="1">
      <formula>"NA"</formula>
    </cfRule>
  </conditionalFormatting>
  <conditionalFormatting sqref="F189">
    <cfRule type="cellIs" priority="189" dxfId="3" operator="equal" stopIfTrue="1">
      <formula>"NA"</formula>
    </cfRule>
    <cfRule type="cellIs" priority="190" dxfId="2" operator="equal" stopIfTrue="1">
      <formula>"NA"</formula>
    </cfRule>
  </conditionalFormatting>
  <conditionalFormatting sqref="F141:F142">
    <cfRule type="cellIs" priority="179" dxfId="3" operator="equal" stopIfTrue="1">
      <formula>"NA"</formula>
    </cfRule>
    <cfRule type="cellIs" priority="180" dxfId="2" operator="equal" stopIfTrue="1">
      <formula>"NA"</formula>
    </cfRule>
  </conditionalFormatting>
  <conditionalFormatting sqref="F139:F140">
    <cfRule type="cellIs" priority="183" dxfId="3" operator="equal" stopIfTrue="1">
      <formula>"NA"</formula>
    </cfRule>
    <cfRule type="cellIs" priority="184" dxfId="2" operator="equal" stopIfTrue="1">
      <formula>"NA"</formula>
    </cfRule>
  </conditionalFormatting>
  <conditionalFormatting sqref="F137:F138">
    <cfRule type="cellIs" priority="181" dxfId="3" operator="equal" stopIfTrue="1">
      <formula>"NA"</formula>
    </cfRule>
    <cfRule type="cellIs" priority="182" dxfId="2" operator="equal" stopIfTrue="1">
      <formula>"NA"</formula>
    </cfRule>
  </conditionalFormatting>
  <conditionalFormatting sqref="F143:F145">
    <cfRule type="cellIs" priority="177" dxfId="3" operator="equal" stopIfTrue="1">
      <formula>"NA"</formula>
    </cfRule>
    <cfRule type="cellIs" priority="178" dxfId="2" operator="equal" stopIfTrue="1">
      <formula>"NA"</formula>
    </cfRule>
  </conditionalFormatting>
  <conditionalFormatting sqref="F199:H199">
    <cfRule type="cellIs" priority="155" dxfId="3" operator="equal" stopIfTrue="1">
      <formula>"NA"</formula>
    </cfRule>
    <cfRule type="cellIs" priority="156" dxfId="2" operator="equal" stopIfTrue="1">
      <formula>"NA"</formula>
    </cfRule>
  </conditionalFormatting>
  <conditionalFormatting sqref="F203:F204">
    <cfRule type="cellIs" priority="153" dxfId="3" operator="equal" stopIfTrue="1">
      <formula>"NA"</formula>
    </cfRule>
    <cfRule type="cellIs" priority="154" dxfId="2" operator="equal" stopIfTrue="1">
      <formula>"NA"</formula>
    </cfRule>
  </conditionalFormatting>
  <conditionalFormatting sqref="F201:F202">
    <cfRule type="cellIs" priority="151" dxfId="3" operator="equal" stopIfTrue="1">
      <formula>"NA"</formula>
    </cfRule>
    <cfRule type="cellIs" priority="152" dxfId="2" operator="equal" stopIfTrue="1">
      <formula>"NA"</formula>
    </cfRule>
  </conditionalFormatting>
  <conditionalFormatting sqref="F205">
    <cfRule type="cellIs" priority="149" dxfId="3" operator="equal" stopIfTrue="1">
      <formula>"NA"</formula>
    </cfRule>
    <cfRule type="cellIs" priority="150" dxfId="2" operator="equal" stopIfTrue="1">
      <formula>"NA"</formula>
    </cfRule>
  </conditionalFormatting>
  <conditionalFormatting sqref="G219">
    <cfRule type="cellIs" priority="141" dxfId="3" operator="equal" stopIfTrue="1">
      <formula>"NA"</formula>
    </cfRule>
    <cfRule type="cellIs" priority="142" dxfId="2" operator="equal" stopIfTrue="1">
      <formula>"NA"</formula>
    </cfRule>
  </conditionalFormatting>
  <conditionalFormatting sqref="F158">
    <cfRule type="cellIs" priority="131" dxfId="3" operator="equal" stopIfTrue="1">
      <formula>"NA"</formula>
    </cfRule>
    <cfRule type="cellIs" priority="132" dxfId="2" operator="equal" stopIfTrue="1">
      <formula>"NA"</formula>
    </cfRule>
  </conditionalFormatting>
  <conditionalFormatting sqref="F159:F161">
    <cfRule type="cellIs" priority="129" dxfId="3" operator="equal" stopIfTrue="1">
      <formula>"NA"</formula>
    </cfRule>
    <cfRule type="cellIs" priority="130" dxfId="2" operator="equal" stopIfTrue="1">
      <formula>"NA"</formula>
    </cfRule>
  </conditionalFormatting>
  <conditionalFormatting sqref="F174">
    <cfRule type="cellIs" priority="127" dxfId="3" operator="equal" stopIfTrue="1">
      <formula>"NA"</formula>
    </cfRule>
    <cfRule type="cellIs" priority="128" dxfId="2" operator="equal" stopIfTrue="1">
      <formula>"NA"</formula>
    </cfRule>
  </conditionalFormatting>
  <conditionalFormatting sqref="F175:F177">
    <cfRule type="cellIs" priority="125" dxfId="3" operator="equal" stopIfTrue="1">
      <formula>"NA"</formula>
    </cfRule>
    <cfRule type="cellIs" priority="126" dxfId="2" operator="equal" stopIfTrue="1">
      <formula>"NA"</formula>
    </cfRule>
  </conditionalFormatting>
  <conditionalFormatting sqref="F190">
    <cfRule type="cellIs" priority="123" dxfId="3" operator="equal" stopIfTrue="1">
      <formula>"NA"</formula>
    </cfRule>
    <cfRule type="cellIs" priority="124" dxfId="2" operator="equal" stopIfTrue="1">
      <formula>"NA"</formula>
    </cfRule>
  </conditionalFormatting>
  <conditionalFormatting sqref="F191:F193">
    <cfRule type="cellIs" priority="121" dxfId="3" operator="equal" stopIfTrue="1">
      <formula>"NA"</formula>
    </cfRule>
    <cfRule type="cellIs" priority="122" dxfId="2" operator="equal" stopIfTrue="1">
      <formula>"NA"</formula>
    </cfRule>
  </conditionalFormatting>
  <conditionalFormatting sqref="F206">
    <cfRule type="cellIs" priority="119" dxfId="3" operator="equal" stopIfTrue="1">
      <formula>"NA"</formula>
    </cfRule>
    <cfRule type="cellIs" priority="120" dxfId="2" operator="equal" stopIfTrue="1">
      <formula>"NA"</formula>
    </cfRule>
  </conditionalFormatting>
  <conditionalFormatting sqref="F207:F209">
    <cfRule type="cellIs" priority="117" dxfId="3" operator="equal" stopIfTrue="1">
      <formula>"NA"</formula>
    </cfRule>
    <cfRule type="cellIs" priority="118" dxfId="2" operator="equal" stopIfTrue="1">
      <formula>"NA"</formula>
    </cfRule>
  </conditionalFormatting>
  <conditionalFormatting sqref="E120">
    <cfRule type="cellIs" priority="115" dxfId="3" operator="equal" stopIfTrue="1">
      <formula>"NA"</formula>
    </cfRule>
    <cfRule type="cellIs" priority="116" dxfId="2" operator="equal" stopIfTrue="1">
      <formula>"NA"</formula>
    </cfRule>
  </conditionalFormatting>
  <conditionalFormatting sqref="F248:H248">
    <cfRule type="cellIs" priority="107" dxfId="3" operator="equal" stopIfTrue="1">
      <formula>"NA"</formula>
    </cfRule>
    <cfRule type="cellIs" priority="108" dxfId="2" operator="equal" stopIfTrue="1">
      <formula>"NA"</formula>
    </cfRule>
  </conditionalFormatting>
  <conditionalFormatting sqref="F249:F251 F253">
    <cfRule type="cellIs" priority="105" dxfId="3" operator="equal" stopIfTrue="1">
      <formula>"NA"</formula>
    </cfRule>
    <cfRule type="cellIs" priority="106" dxfId="2" operator="equal" stopIfTrue="1">
      <formula>"NA"</formula>
    </cfRule>
  </conditionalFormatting>
  <conditionalFormatting sqref="F549:F556">
    <cfRule type="cellIs" priority="103" dxfId="3" operator="equal" stopIfTrue="1">
      <formula>"NA"</formula>
    </cfRule>
    <cfRule type="cellIs" priority="104" dxfId="2" operator="equal" stopIfTrue="1">
      <formula>"NA"</formula>
    </cfRule>
  </conditionalFormatting>
  <conditionalFormatting sqref="F559">
    <cfRule type="cellIs" priority="99" dxfId="3" operator="equal" stopIfTrue="1">
      <formula>"NA"</formula>
    </cfRule>
    <cfRule type="cellIs" priority="100" dxfId="2" operator="equal" stopIfTrue="1">
      <formula>"NA"</formula>
    </cfRule>
  </conditionalFormatting>
  <conditionalFormatting sqref="F562:F568">
    <cfRule type="cellIs" priority="97" dxfId="3" operator="equal" stopIfTrue="1">
      <formula>"NA"</formula>
    </cfRule>
    <cfRule type="cellIs" priority="98" dxfId="2" operator="equal" stopIfTrue="1">
      <formula>"NA"</formula>
    </cfRule>
  </conditionalFormatting>
  <conditionalFormatting sqref="F73:F74">
    <cfRule type="cellIs" priority="89" dxfId="3" operator="equal" stopIfTrue="1">
      <formula>"NA"</formula>
    </cfRule>
    <cfRule type="cellIs" priority="90" dxfId="2" operator="equal" stopIfTrue="1">
      <formula>"NA"</formula>
    </cfRule>
  </conditionalFormatting>
  <conditionalFormatting sqref="F86">
    <cfRule type="cellIs" priority="87" dxfId="3" operator="equal" stopIfTrue="1">
      <formula>"NA"</formula>
    </cfRule>
    <cfRule type="cellIs" priority="88" dxfId="2" operator="equal" stopIfTrue="1">
      <formula>"NA"</formula>
    </cfRule>
  </conditionalFormatting>
  <conditionalFormatting sqref="F87">
    <cfRule type="cellIs" priority="85" dxfId="3" operator="equal" stopIfTrue="1">
      <formula>"NA"</formula>
    </cfRule>
    <cfRule type="cellIs" priority="86" dxfId="2" operator="equal" stopIfTrue="1">
      <formula>"NA"</formula>
    </cfRule>
  </conditionalFormatting>
  <conditionalFormatting sqref="F88">
    <cfRule type="cellIs" priority="83" dxfId="3" operator="equal" stopIfTrue="1">
      <formula>"NA"</formula>
    </cfRule>
    <cfRule type="cellIs" priority="84" dxfId="2" operator="equal" stopIfTrue="1">
      <formula>"NA"</formula>
    </cfRule>
  </conditionalFormatting>
  <conditionalFormatting sqref="F87:F88">
    <cfRule type="cellIs" priority="81" dxfId="3" operator="equal" stopIfTrue="1">
      <formula>"NA"</formula>
    </cfRule>
    <cfRule type="cellIs" priority="82" dxfId="2" operator="equal" stopIfTrue="1">
      <formula>"NA"</formula>
    </cfRule>
  </conditionalFormatting>
  <conditionalFormatting sqref="F100">
    <cfRule type="cellIs" priority="79" dxfId="3" operator="equal" stopIfTrue="1">
      <formula>"NA"</formula>
    </cfRule>
    <cfRule type="cellIs" priority="80" dxfId="2" operator="equal" stopIfTrue="1">
      <formula>"NA"</formula>
    </cfRule>
  </conditionalFormatting>
  <conditionalFormatting sqref="F102">
    <cfRule type="cellIs" priority="77" dxfId="3" operator="equal" stopIfTrue="1">
      <formula>"NA"</formula>
    </cfRule>
    <cfRule type="cellIs" priority="78" dxfId="2" operator="equal" stopIfTrue="1">
      <formula>"NA"</formula>
    </cfRule>
  </conditionalFormatting>
  <conditionalFormatting sqref="F101">
    <cfRule type="cellIs" priority="75" dxfId="3" operator="equal" stopIfTrue="1">
      <formula>"NA"</formula>
    </cfRule>
    <cfRule type="cellIs" priority="76" dxfId="2" operator="equal" stopIfTrue="1">
      <formula>"NA"</formula>
    </cfRule>
  </conditionalFormatting>
  <conditionalFormatting sqref="F101">
    <cfRule type="cellIs" priority="73" dxfId="3" operator="equal" stopIfTrue="1">
      <formula>"NA"</formula>
    </cfRule>
    <cfRule type="cellIs" priority="74" dxfId="2" operator="equal" stopIfTrue="1">
      <formula>"NA"</formula>
    </cfRule>
  </conditionalFormatting>
  <conditionalFormatting sqref="F102">
    <cfRule type="cellIs" priority="71" dxfId="3" operator="equal" stopIfTrue="1">
      <formula>"NA"</formula>
    </cfRule>
    <cfRule type="cellIs" priority="72" dxfId="2" operator="equal" stopIfTrue="1">
      <formula>"NA"</formula>
    </cfRule>
  </conditionalFormatting>
  <conditionalFormatting sqref="F101:F102">
    <cfRule type="cellIs" priority="69" dxfId="3" operator="equal" stopIfTrue="1">
      <formula>"NA"</formula>
    </cfRule>
    <cfRule type="cellIs" priority="70" dxfId="2" operator="equal" stopIfTrue="1">
      <formula>"NA"</formula>
    </cfRule>
  </conditionalFormatting>
  <conditionalFormatting sqref="F244:F246">
    <cfRule type="cellIs" priority="63" dxfId="3" operator="equal" stopIfTrue="1">
      <formula>"NA"</formula>
    </cfRule>
    <cfRule type="cellIs" priority="64" dxfId="2" operator="equal" stopIfTrue="1">
      <formula>"NA"</formula>
    </cfRule>
  </conditionalFormatting>
  <conditionalFormatting sqref="H243:J243">
    <cfRule type="cellIs" priority="65" dxfId="3" operator="equal" stopIfTrue="1">
      <formula>"NA"</formula>
    </cfRule>
    <cfRule type="cellIs" priority="66" dxfId="2" operator="equal" stopIfTrue="1">
      <formula>"NA"</formula>
    </cfRule>
  </conditionalFormatting>
  <conditionalFormatting sqref="F359">
    <cfRule type="cellIs" priority="57" dxfId="3" operator="equal" stopIfTrue="1">
      <formula>"NA"</formula>
    </cfRule>
    <cfRule type="cellIs" priority="58" dxfId="2" operator="equal" stopIfTrue="1">
      <formula>"NA"</formula>
    </cfRule>
  </conditionalFormatting>
  <conditionalFormatting sqref="F360">
    <cfRule type="cellIs" priority="55" dxfId="3" operator="equal" stopIfTrue="1">
      <formula>"NA"</formula>
    </cfRule>
    <cfRule type="cellIs" priority="56" dxfId="2" operator="equal" stopIfTrue="1">
      <formula>"NA"</formula>
    </cfRule>
  </conditionalFormatting>
  <conditionalFormatting sqref="F361">
    <cfRule type="cellIs" priority="53" dxfId="3" operator="equal" stopIfTrue="1">
      <formula>"NA"</formula>
    </cfRule>
    <cfRule type="cellIs" priority="54" dxfId="2" operator="equal" stopIfTrue="1">
      <formula>"NA"</formula>
    </cfRule>
  </conditionalFormatting>
  <conditionalFormatting sqref="F362">
    <cfRule type="cellIs" priority="51" dxfId="3" operator="equal" stopIfTrue="1">
      <formula>"NA"</formula>
    </cfRule>
    <cfRule type="cellIs" priority="52" dxfId="2" operator="equal" stopIfTrue="1">
      <formula>"NA"</formula>
    </cfRule>
  </conditionalFormatting>
  <conditionalFormatting sqref="G133">
    <cfRule type="cellIs" priority="49" dxfId="3" operator="equal" stopIfTrue="1">
      <formula>"NA"</formula>
    </cfRule>
    <cfRule type="cellIs" priority="50" dxfId="2" operator="equal" stopIfTrue="1">
      <formula>"NA"</formula>
    </cfRule>
  </conditionalFormatting>
  <conditionalFormatting sqref="H366">
    <cfRule type="cellIs" priority="41" dxfId="3" operator="equal" stopIfTrue="1">
      <formula>"NA"</formula>
    </cfRule>
    <cfRule type="cellIs" priority="42" dxfId="2" operator="equal" stopIfTrue="1">
      <formula>"NA"</formula>
    </cfRule>
  </conditionalFormatting>
  <conditionalFormatting sqref="H376">
    <cfRule type="cellIs" priority="39" dxfId="3" operator="equal" stopIfTrue="1">
      <formula>"NA"</formula>
    </cfRule>
    <cfRule type="cellIs" priority="40" dxfId="2" operator="equal" stopIfTrue="1">
      <formula>"NA"</formula>
    </cfRule>
  </conditionalFormatting>
  <conditionalFormatting sqref="G457">
    <cfRule type="cellIs" priority="3" dxfId="3" operator="equal" stopIfTrue="1">
      <formula>"NA"</formula>
    </cfRule>
    <cfRule type="cellIs" priority="4" dxfId="2" operator="equal" stopIfTrue="1">
      <formula>"NA"</formula>
    </cfRule>
  </conditionalFormatting>
  <conditionalFormatting sqref="H457">
    <cfRule type="cellIs" priority="1" dxfId="3" operator="equal" stopIfTrue="1">
      <formula>"NA"</formula>
    </cfRule>
    <cfRule type="cellIs" priority="2" dxfId="2" operator="equal" stopIfTrue="1">
      <formula>"NA"</formula>
    </cfRule>
  </conditionalFormatting>
  <dataValidations count="5">
    <dataValidation type="list" allowBlank="1" showInputMessage="1" showErrorMessage="1" sqref="F570 G549:G556 E549:E556 E136:G136 E184:G184 E168:G168 E152:G152 E200:G200 A576 E128:G128 E216:G216">
      <formula1>"Yes,No"</formula1>
    </dataValidation>
    <dataValidation type="decimal" operator="greaterThan" showErrorMessage="1" promptTitle="Numeric Input" prompt="Please enter numeric values or leave blank" errorTitle="Text Alert" error="Please do not enter text" sqref="F252:G252 F560:F561 G527:G529 G513:G514 F558 E509:E511 E458:E464 G487:G491 G475:G480 G428:G435 G443:G450 G516:G519 E416:E421 G404:G409 G416:H421 G391:G397 E377:E382 G185:G193 E347:E353 G347:G353 G335:G341 G323:G329 H545 G311:G317 G253 G249:G251 G534:G541 E33:E44 G201:G209 G231:G236 F569 E153:E161 E231:E236 E255:E256 E263:E269 G299:G305 G543:G545 E513:E514 G153:G161 E21:E29 G169:G177 E17:E19 G244:G247 E559:E568 G239:G242 G509:G511 G107:G121 E428:E435 E173:E174 E185:E186 G129:G132 E169:E170 E129:E132 G458:G464 E205:E206 E477:E480 E103 E391:E397 E447:E450 E445 G287:G293 E404:E409 E367:E372 E489:E491 E311:E317 G275:G281 E201:E202 G263:G269 E47:E58 E335:E341 E244:E247 E323:E329 G33:G103 E287:E293 E7:E14 E299:E305 E107:E121 E275:E281 G255:G256 G137:G145 G377:G382 E239:E242 G367:G372 E249:E253 G558:G569 E137:E145 E189:E190 E516:E519">
      <formula1>-1</formula1>
    </dataValidation>
    <dataValidation operator="greaterThan" showErrorMessage="1" promptTitle="Numeric Input" prompt="Please enter numeric values or leave blank" errorTitle="Text Alert" error="Please do not enter text" sqref="H239:H242 H33:H103 H107:H121 H184:H194 H231:H236 H216:H225 H136:H146 H255:H256 H263:H269 H275:H281 H299:H305 H311:H317 H323:H329 H335:H341 H347:H353 H287:H293 H367:H372 H391:H397 H404:H409 H428:H435 H443:H450 H377:H382 H475:H480 H487:H491 H458:H464 H509:H511 H516:H519 H531:H532 H523:H524 H527:H529 H534:H541 H543:H544 H549:H569 H152:H162 H168:H178 H128:H132 H200:H210 F549:F556 H249:H253 E217:G218 E220:G221 H247 H513:H514"/>
    <dataValidation type="decimal" operator="notEqual" allowBlank="1" showInputMessage="1" showErrorMessage="1" promptTitle="Numeric Input" prompt="Please enter numeric values or leave blank" errorTitle="Text Alert" error="Please do not enter &quot;0&quot; or text" sqref="E543:E544 E207:E209 E534:E541 E487:E488 E203:E204 E475:E476 E175:E177 E171:E172 E187:E188 E191:E193 E446 E443:E444 E515">
      <formula1>0</formula1>
    </dataValidation>
    <dataValidation operator="notEqual" allowBlank="1" showInputMessage="1" showErrorMessage="1" promptTitle="Numeric Input" prompt="Please enter numeric values or leave blank" errorTitle="Text Alert" error="Please do not enter &quot;0&quot; or text" sqref="E146:G146 E222:G225 E210:G210 E219:G219 E162:G162 E178:G178 E194:G194"/>
  </dataValidations>
  <printOptions horizontalCentered="1"/>
  <pageMargins left="0.2362204724409449" right="0" top="0.2362204724409449" bottom="0.4330708661417323" header="0.31496062992125984" footer="0.31496062992125984"/>
  <pageSetup fitToHeight="3" orientation="landscape" paperSize="9" scale="63" r:id="rId1"/>
  <headerFooter>
    <oddFooter>&amp;CPage &amp;P of &amp;N&amp;RNote: Not to be quoted and not to be published without prior permission</oddFooter>
  </headerFooter>
  <rowBreaks count="6" manualBreakCount="6">
    <brk id="125" max="255" man="1"/>
    <brk id="307" max="255" man="1"/>
    <brk id="365" max="255" man="1"/>
    <brk id="397" max="255" man="1"/>
    <brk id="440" max="9" man="1"/>
    <brk id="50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81"/>
  <sheetViews>
    <sheetView showGridLines="0" zoomScale="85" zoomScaleNormal="85" zoomScalePageLayoutView="0" workbookViewId="0" topLeftCell="A1">
      <selection activeCell="E20" sqref="E20"/>
    </sheetView>
  </sheetViews>
  <sheetFormatPr defaultColWidth="0" defaultRowHeight="0" customHeight="1" zeroHeight="1"/>
  <cols>
    <col min="1" max="1" width="7.00390625" style="154" customWidth="1"/>
    <col min="2" max="2" width="49.7109375" style="155" customWidth="1"/>
    <col min="3" max="3" width="16.00390625" style="155" customWidth="1"/>
    <col min="4" max="4" width="15.140625" style="156" customWidth="1"/>
    <col min="5" max="5" width="18.57421875" style="154" customWidth="1"/>
    <col min="6" max="6" width="19.00390625" style="155" customWidth="1"/>
    <col min="7" max="7" width="0" style="81" hidden="1" customWidth="1"/>
    <col min="8" max="8" width="0" style="54" hidden="1" customWidth="1"/>
    <col min="9" max="19" width="0" style="34" hidden="1" customWidth="1"/>
    <col min="20" max="255" width="8.8515625" style="34" hidden="1" customWidth="1"/>
    <col min="256" max="16384" width="0.5625" style="34" hidden="1" customWidth="1"/>
  </cols>
  <sheetData>
    <row r="1" spans="1:8" ht="15.75" thickBot="1">
      <c r="A1" s="74"/>
      <c r="B1" s="75"/>
      <c r="C1" s="75"/>
      <c r="D1" s="76"/>
      <c r="E1" s="77"/>
      <c r="F1" s="78"/>
      <c r="G1" s="34"/>
      <c r="H1" s="34"/>
    </row>
    <row r="2" spans="1:7" s="36" customFormat="1" ht="35.25" customHeight="1">
      <c r="A2" s="1019" t="s">
        <v>1246</v>
      </c>
      <c r="B2" s="1020"/>
      <c r="C2" s="1020"/>
      <c r="D2" s="1020"/>
      <c r="E2" s="1020"/>
      <c r="F2" s="1021"/>
      <c r="G2" s="35"/>
    </row>
    <row r="3" spans="1:7" s="80" customFormat="1" ht="18.75" customHeight="1">
      <c r="A3" s="1022" t="str">
        <f>CONCATENATE('General Information'!A2,L1)</f>
        <v>Sector :-  Cement Sector</v>
      </c>
      <c r="B3" s="1023"/>
      <c r="C3" s="1023"/>
      <c r="D3" s="1023"/>
      <c r="E3" s="1023"/>
      <c r="F3" s="1024"/>
      <c r="G3" s="79"/>
    </row>
    <row r="4" spans="1:11" ht="18.75" customHeight="1">
      <c r="A4" s="1008" t="str">
        <f>CONCATENATE('General Information'!B3:B3)</f>
        <v>Name of the Unit</v>
      </c>
      <c r="B4" s="1009"/>
      <c r="C4" s="1025" t="str">
        <f>'Form-Sb'!C3</f>
        <v>  </v>
      </c>
      <c r="D4" s="1025"/>
      <c r="E4" s="1025"/>
      <c r="F4" s="1026"/>
      <c r="H4" s="81"/>
      <c r="I4" s="81"/>
      <c r="J4" s="81"/>
      <c r="K4" s="54"/>
    </row>
    <row r="5" spans="1:11" ht="60">
      <c r="A5" s="323" t="s">
        <v>0</v>
      </c>
      <c r="B5" s="744" t="s">
        <v>1</v>
      </c>
      <c r="C5" s="745"/>
      <c r="D5" s="746" t="s">
        <v>2</v>
      </c>
      <c r="E5" s="747" t="str">
        <f>'Form-Sb'!F4</f>
        <v>Baseline Year (Average of year1 to Year 3)</v>
      </c>
      <c r="F5" s="747" t="str">
        <f>'Form-Sb'!G4</f>
        <v>Current/Assessment /Target Year    (20__-20__)</v>
      </c>
      <c r="H5" s="81"/>
      <c r="I5" s="81"/>
      <c r="J5" s="81"/>
      <c r="K5" s="54"/>
    </row>
    <row r="6" spans="1:11" s="85" customFormat="1" ht="13.5" customHeight="1">
      <c r="A6" s="323" t="s">
        <v>6</v>
      </c>
      <c r="B6" s="1016" t="s">
        <v>5</v>
      </c>
      <c r="C6" s="1017"/>
      <c r="D6" s="1017"/>
      <c r="E6" s="1017"/>
      <c r="F6" s="1018"/>
      <c r="G6" s="83"/>
      <c r="H6" s="83"/>
      <c r="I6" s="83"/>
      <c r="J6" s="83"/>
      <c r="K6" s="84"/>
    </row>
    <row r="7" spans="1:11" ht="27.75" customHeight="1">
      <c r="A7" s="86" t="s">
        <v>63</v>
      </c>
      <c r="B7" s="87" t="s">
        <v>78</v>
      </c>
      <c r="C7" s="88" t="s">
        <v>157</v>
      </c>
      <c r="D7" s="89" t="s">
        <v>76</v>
      </c>
      <c r="E7" s="90" t="e">
        <f>'Form-Sb'!F7</f>
        <v>#DIV/0!</v>
      </c>
      <c r="F7" s="620">
        <f>'Form-Sb'!G7</f>
        <v>0</v>
      </c>
      <c r="H7" s="81"/>
      <c r="I7" s="81"/>
      <c r="J7" s="81"/>
      <c r="K7" s="54"/>
    </row>
    <row r="8" spans="1:11" ht="31.5" customHeight="1">
      <c r="A8" s="86" t="s">
        <v>64</v>
      </c>
      <c r="B8" s="87" t="s">
        <v>79</v>
      </c>
      <c r="C8" s="88" t="s">
        <v>157</v>
      </c>
      <c r="D8" s="91" t="s">
        <v>76</v>
      </c>
      <c r="E8" s="90" t="e">
        <f>'Form-Sb'!F8</f>
        <v>#DIV/0!</v>
      </c>
      <c r="F8" s="620">
        <f>'Form-Sb'!G8</f>
        <v>0</v>
      </c>
      <c r="H8" s="81"/>
      <c r="I8" s="81"/>
      <c r="J8" s="81"/>
      <c r="K8" s="54"/>
    </row>
    <row r="9" spans="1:11" ht="15">
      <c r="A9" s="86" t="s">
        <v>65</v>
      </c>
      <c r="B9" s="87" t="s">
        <v>80</v>
      </c>
      <c r="C9" s="88" t="s">
        <v>110</v>
      </c>
      <c r="D9" s="89" t="s">
        <v>76</v>
      </c>
      <c r="E9" s="92" t="e">
        <f>'Form-Sb'!F9</f>
        <v>#DIV/0!</v>
      </c>
      <c r="F9" s="638">
        <f>'Form-Sb'!G9-'Form-Sb'!G536</f>
        <v>0</v>
      </c>
      <c r="H9" s="81"/>
      <c r="I9" s="81"/>
      <c r="J9" s="81"/>
      <c r="K9" s="54"/>
    </row>
    <row r="10" spans="1:11" ht="15">
      <c r="A10" s="86" t="s">
        <v>77</v>
      </c>
      <c r="B10" s="87" t="s">
        <v>158</v>
      </c>
      <c r="C10" s="88" t="s">
        <v>110</v>
      </c>
      <c r="D10" s="91" t="s">
        <v>76</v>
      </c>
      <c r="E10" s="92" t="e">
        <f>'Form-Sb'!F10</f>
        <v>#DIV/0!</v>
      </c>
      <c r="F10" s="621">
        <f>'Form-Sb'!G10</f>
        <v>0</v>
      </c>
      <c r="H10" s="81"/>
      <c r="I10" s="81"/>
      <c r="J10" s="81"/>
      <c r="K10" s="54"/>
    </row>
    <row r="11" spans="1:11" ht="15">
      <c r="A11" s="86" t="s">
        <v>85</v>
      </c>
      <c r="B11" s="87" t="s">
        <v>188</v>
      </c>
      <c r="C11" s="88" t="s">
        <v>110</v>
      </c>
      <c r="D11" s="91" t="s">
        <v>76</v>
      </c>
      <c r="E11" s="92" t="e">
        <f>'Form-Sb'!F11</f>
        <v>#DIV/0!</v>
      </c>
      <c r="F11" s="621">
        <f>'Form-Sb'!G11</f>
        <v>0</v>
      </c>
      <c r="H11" s="81"/>
      <c r="I11" s="81"/>
      <c r="J11" s="81"/>
      <c r="K11" s="54"/>
    </row>
    <row r="12" spans="1:11" ht="15">
      <c r="A12" s="86" t="s">
        <v>86</v>
      </c>
      <c r="B12" s="87" t="s">
        <v>189</v>
      </c>
      <c r="C12" s="88" t="s">
        <v>110</v>
      </c>
      <c r="D12" s="91" t="s">
        <v>76</v>
      </c>
      <c r="E12" s="92" t="e">
        <f>'Form-Sb'!F12</f>
        <v>#DIV/0!</v>
      </c>
      <c r="F12" s="621">
        <f>'Form-Sb'!G12</f>
        <v>0</v>
      </c>
      <c r="H12" s="81"/>
      <c r="I12" s="81"/>
      <c r="J12" s="81"/>
      <c r="K12" s="54"/>
    </row>
    <row r="13" spans="1:11" ht="15">
      <c r="A13" s="86" t="s">
        <v>87</v>
      </c>
      <c r="B13" s="87" t="s">
        <v>190</v>
      </c>
      <c r="C13" s="88" t="s">
        <v>110</v>
      </c>
      <c r="D13" s="91" t="s">
        <v>76</v>
      </c>
      <c r="E13" s="92" t="e">
        <f>'Form-Sb'!F13</f>
        <v>#DIV/0!</v>
      </c>
      <c r="F13" s="621">
        <f>'Form-Sb'!G13</f>
        <v>0</v>
      </c>
      <c r="H13" s="81"/>
      <c r="I13" s="81"/>
      <c r="J13" s="81"/>
      <c r="K13" s="54"/>
    </row>
    <row r="14" spans="1:11" ht="15">
      <c r="A14" s="86" t="s">
        <v>88</v>
      </c>
      <c r="B14" s="87" t="s">
        <v>191</v>
      </c>
      <c r="C14" s="88" t="s">
        <v>110</v>
      </c>
      <c r="D14" s="91" t="s">
        <v>76</v>
      </c>
      <c r="E14" s="92" t="e">
        <f>'Form-Sb'!F14</f>
        <v>#DIV/0!</v>
      </c>
      <c r="F14" s="621">
        <f>'Form-Sb'!G14</f>
        <v>0</v>
      </c>
      <c r="H14" s="81"/>
      <c r="I14" s="81"/>
      <c r="J14" s="81"/>
      <c r="K14" s="54"/>
    </row>
    <row r="15" spans="1:11" ht="15">
      <c r="A15" s="86" t="s">
        <v>89</v>
      </c>
      <c r="B15" s="93" t="s">
        <v>83</v>
      </c>
      <c r="C15" s="36" t="s">
        <v>107</v>
      </c>
      <c r="D15" s="91" t="s">
        <v>3</v>
      </c>
      <c r="E15" s="92" t="e">
        <f>'Form-Sb'!F15</f>
        <v>#DIV/0!</v>
      </c>
      <c r="F15" s="621">
        <f>'Form-Sb'!G15</f>
        <v>0</v>
      </c>
      <c r="H15" s="81"/>
      <c r="I15" s="81"/>
      <c r="J15" s="81"/>
      <c r="K15" s="54"/>
    </row>
    <row r="16" spans="1:11" ht="15">
      <c r="A16" s="86" t="s">
        <v>90</v>
      </c>
      <c r="B16" s="93" t="s">
        <v>84</v>
      </c>
      <c r="C16" s="36" t="s">
        <v>108</v>
      </c>
      <c r="D16" s="91" t="s">
        <v>3</v>
      </c>
      <c r="E16" s="92" t="e">
        <f>'Form-Sb'!F16</f>
        <v>#DIV/0!</v>
      </c>
      <c r="F16" s="621">
        <f>'Form-Sb'!G16</f>
        <v>0</v>
      </c>
      <c r="H16" s="81"/>
      <c r="I16" s="81"/>
      <c r="J16" s="81"/>
      <c r="K16" s="54"/>
    </row>
    <row r="17" spans="1:11" ht="15">
      <c r="A17" s="86" t="s">
        <v>95</v>
      </c>
      <c r="B17" s="87" t="s">
        <v>81</v>
      </c>
      <c r="C17" s="88" t="s">
        <v>110</v>
      </c>
      <c r="D17" s="91" t="s">
        <v>76</v>
      </c>
      <c r="E17" s="92" t="e">
        <f>'Form-Sb'!F17</f>
        <v>#DIV/0!</v>
      </c>
      <c r="F17" s="621">
        <f>'Form-Sb'!G17</f>
        <v>0</v>
      </c>
      <c r="H17" s="81"/>
      <c r="I17" s="81"/>
      <c r="J17" s="81"/>
      <c r="K17" s="54"/>
    </row>
    <row r="18" spans="1:11" ht="15">
      <c r="A18" s="86" t="s">
        <v>96</v>
      </c>
      <c r="B18" s="87" t="s">
        <v>82</v>
      </c>
      <c r="C18" s="88" t="s">
        <v>110</v>
      </c>
      <c r="D18" s="91" t="s">
        <v>76</v>
      </c>
      <c r="E18" s="92" t="e">
        <f>'Form-Sb'!F18</f>
        <v>#DIV/0!</v>
      </c>
      <c r="F18" s="621">
        <f>'Form-Sb'!G18</f>
        <v>0</v>
      </c>
      <c r="H18" s="81"/>
      <c r="I18" s="81"/>
      <c r="J18" s="81"/>
      <c r="K18" s="54"/>
    </row>
    <row r="19" spans="1:11" ht="15" customHeight="1">
      <c r="A19" s="86" t="s">
        <v>97</v>
      </c>
      <c r="B19" s="835" t="s">
        <v>459</v>
      </c>
      <c r="C19" s="88" t="s">
        <v>110</v>
      </c>
      <c r="D19" s="91" t="s">
        <v>76</v>
      </c>
      <c r="E19" s="92" t="e">
        <f>'Form-Sb'!F19</f>
        <v>#DIV/0!</v>
      </c>
      <c r="F19" s="621">
        <f>'Form-Sb'!G19</f>
        <v>0</v>
      </c>
      <c r="H19" s="81"/>
      <c r="I19" s="81"/>
      <c r="J19" s="81"/>
      <c r="K19" s="54"/>
    </row>
    <row r="20" spans="1:11" ht="15" customHeight="1">
      <c r="A20" s="86" t="s">
        <v>164</v>
      </c>
      <c r="B20" s="835" t="s">
        <v>1661</v>
      </c>
      <c r="C20" s="88" t="s">
        <v>110</v>
      </c>
      <c r="D20" s="91" t="s">
        <v>76</v>
      </c>
      <c r="E20" s="92" t="e">
        <f>'Form-Sb'!F20</f>
        <v>#DIV/0!</v>
      </c>
      <c r="F20" s="621">
        <f>'Form-Sb'!G20</f>
        <v>0</v>
      </c>
      <c r="H20" s="81"/>
      <c r="I20" s="81"/>
      <c r="J20" s="81"/>
      <c r="K20" s="54"/>
    </row>
    <row r="21" spans="1:11" ht="15" customHeight="1">
      <c r="A21" s="834" t="s">
        <v>165</v>
      </c>
      <c r="B21" s="87" t="s">
        <v>170</v>
      </c>
      <c r="C21" s="88" t="s">
        <v>110</v>
      </c>
      <c r="D21" s="91" t="s">
        <v>76</v>
      </c>
      <c r="E21" s="92" t="e">
        <f>'Form-Sb'!F21</f>
        <v>#DIV/0!</v>
      </c>
      <c r="F21" s="621">
        <f>'Form-Sb'!G21</f>
        <v>0</v>
      </c>
      <c r="H21" s="81"/>
      <c r="I21" s="81"/>
      <c r="J21" s="81"/>
      <c r="K21" s="54"/>
    </row>
    <row r="22" spans="1:11" ht="15" customHeight="1">
      <c r="A22" s="834" t="s">
        <v>166</v>
      </c>
      <c r="B22" s="87" t="s">
        <v>134</v>
      </c>
      <c r="C22" s="88" t="s">
        <v>110</v>
      </c>
      <c r="D22" s="91" t="s">
        <v>76</v>
      </c>
      <c r="E22" s="92" t="e">
        <f>'Form-Sb'!F22</f>
        <v>#DIV/0!</v>
      </c>
      <c r="F22" s="638">
        <f>'Form-Sb'!G22+'Form-Sb'!G536</f>
        <v>0</v>
      </c>
      <c r="H22" s="81"/>
      <c r="I22" s="81"/>
      <c r="J22" s="81"/>
      <c r="K22" s="54"/>
    </row>
    <row r="23" spans="1:12" s="85" customFormat="1" ht="15" customHeight="1">
      <c r="A23" s="323" t="s">
        <v>7</v>
      </c>
      <c r="B23" s="1016" t="s">
        <v>205</v>
      </c>
      <c r="C23" s="1017"/>
      <c r="D23" s="1017"/>
      <c r="E23" s="1017"/>
      <c r="F23" s="1018"/>
      <c r="G23" s="1014"/>
      <c r="H23" s="1014"/>
      <c r="I23" s="1014"/>
      <c r="J23" s="1014"/>
      <c r="K23" s="1015"/>
      <c r="L23" s="94"/>
    </row>
    <row r="24" spans="1:11" ht="15">
      <c r="A24" s="86" t="s">
        <v>206</v>
      </c>
      <c r="B24" s="87" t="s">
        <v>92</v>
      </c>
      <c r="C24" s="88" t="s">
        <v>110</v>
      </c>
      <c r="D24" s="91" t="s">
        <v>76</v>
      </c>
      <c r="E24" s="348" t="e">
        <f>'Form-Sb'!F23</f>
        <v>#DIV/0!</v>
      </c>
      <c r="F24" s="622">
        <f>'Form-Sb'!G23</f>
        <v>0</v>
      </c>
      <c r="H24" s="81"/>
      <c r="I24" s="81"/>
      <c r="J24" s="81"/>
      <c r="K24" s="54"/>
    </row>
    <row r="25" spans="1:11" ht="15">
      <c r="A25" s="95" t="s">
        <v>207</v>
      </c>
      <c r="B25" s="87" t="s">
        <v>91</v>
      </c>
      <c r="C25" s="88" t="s">
        <v>110</v>
      </c>
      <c r="D25" s="91" t="s">
        <v>76</v>
      </c>
      <c r="E25" s="348" t="e">
        <f>'Form-Sb'!F24</f>
        <v>#DIV/0!</v>
      </c>
      <c r="F25" s="622">
        <f>'Form-Sb'!G24</f>
        <v>0</v>
      </c>
      <c r="H25" s="81"/>
      <c r="I25" s="81"/>
      <c r="J25" s="81"/>
      <c r="K25" s="54"/>
    </row>
    <row r="26" spans="1:11" ht="15">
      <c r="A26" s="86" t="s">
        <v>208</v>
      </c>
      <c r="B26" s="87" t="s">
        <v>93</v>
      </c>
      <c r="C26" s="88" t="s">
        <v>110</v>
      </c>
      <c r="D26" s="91" t="s">
        <v>76</v>
      </c>
      <c r="E26" s="348" t="e">
        <f>'Form-Sb'!F25</f>
        <v>#DIV/0!</v>
      </c>
      <c r="F26" s="622">
        <f>'Form-Sb'!G25</f>
        <v>0</v>
      </c>
      <c r="H26" s="81"/>
      <c r="I26" s="81"/>
      <c r="J26" s="81"/>
      <c r="K26" s="54"/>
    </row>
    <row r="27" spans="1:11" ht="15">
      <c r="A27" s="95" t="s">
        <v>209</v>
      </c>
      <c r="B27" s="87" t="s">
        <v>94</v>
      </c>
      <c r="C27" s="88" t="s">
        <v>110</v>
      </c>
      <c r="D27" s="91" t="s">
        <v>76</v>
      </c>
      <c r="E27" s="348" t="e">
        <f>'Form-Sb'!F26</f>
        <v>#DIV/0!</v>
      </c>
      <c r="F27" s="622">
        <f>'Form-Sb'!G26</f>
        <v>0</v>
      </c>
      <c r="H27" s="81"/>
      <c r="I27" s="81"/>
      <c r="J27" s="81"/>
      <c r="K27" s="54"/>
    </row>
    <row r="28" spans="1:11" s="85" customFormat="1" ht="15.75" customHeight="1">
      <c r="A28" s="323" t="s">
        <v>35</v>
      </c>
      <c r="B28" s="1016" t="s">
        <v>135</v>
      </c>
      <c r="C28" s="1017"/>
      <c r="D28" s="1017"/>
      <c r="E28" s="1017"/>
      <c r="F28" s="1018"/>
      <c r="G28" s="1014"/>
      <c r="H28" s="1014"/>
      <c r="I28" s="83"/>
      <c r="J28" s="83"/>
      <c r="K28" s="84"/>
    </row>
    <row r="29" spans="1:11" ht="15">
      <c r="A29" s="95" t="s">
        <v>210</v>
      </c>
      <c r="B29" s="87" t="s">
        <v>161</v>
      </c>
      <c r="C29" s="88" t="s">
        <v>110</v>
      </c>
      <c r="D29" s="91" t="s">
        <v>136</v>
      </c>
      <c r="E29" s="348">
        <f>'Form-Sb'!F27</f>
        <v>0</v>
      </c>
      <c r="F29" s="622">
        <f>'Form-Sb'!G27</f>
        <v>0</v>
      </c>
      <c r="H29" s="81"/>
      <c r="I29" s="81"/>
      <c r="J29" s="81"/>
      <c r="K29" s="54"/>
    </row>
    <row r="30" spans="1:11" ht="15">
      <c r="A30" s="95" t="s">
        <v>211</v>
      </c>
      <c r="B30" s="87" t="s">
        <v>162</v>
      </c>
      <c r="C30" s="88" t="s">
        <v>110</v>
      </c>
      <c r="D30" s="91" t="s">
        <v>136</v>
      </c>
      <c r="E30" s="348">
        <f>'Form-Sb'!F28</f>
        <v>0</v>
      </c>
      <c r="F30" s="622">
        <f>'Form-Sb'!G28</f>
        <v>0</v>
      </c>
      <c r="H30" s="81"/>
      <c r="I30" s="81"/>
      <c r="J30" s="81"/>
      <c r="K30" s="54"/>
    </row>
    <row r="31" spans="1:11" ht="15">
      <c r="A31" s="95" t="s">
        <v>212</v>
      </c>
      <c r="B31" s="87" t="s">
        <v>163</v>
      </c>
      <c r="C31" s="88" t="s">
        <v>110</v>
      </c>
      <c r="D31" s="91" t="s">
        <v>136</v>
      </c>
      <c r="E31" s="348">
        <f>'Form-Sb'!F29</f>
        <v>0</v>
      </c>
      <c r="F31" s="622">
        <f>'Form-Sb'!G29</f>
        <v>0</v>
      </c>
      <c r="H31" s="81"/>
      <c r="I31" s="81"/>
      <c r="J31" s="81"/>
      <c r="K31" s="54"/>
    </row>
    <row r="32" spans="1:11" ht="30">
      <c r="A32" s="836" t="s">
        <v>1660</v>
      </c>
      <c r="B32" s="835" t="s">
        <v>1677</v>
      </c>
      <c r="C32" s="837" t="s">
        <v>110</v>
      </c>
      <c r="D32" s="838" t="s">
        <v>136</v>
      </c>
      <c r="E32" s="348">
        <f>'Form-Sb'!F30</f>
        <v>0</v>
      </c>
      <c r="F32" s="622">
        <f>'Form-Sb'!G30</f>
        <v>0</v>
      </c>
      <c r="H32" s="81"/>
      <c r="I32" s="81"/>
      <c r="J32" s="81"/>
      <c r="K32" s="54"/>
    </row>
    <row r="33" spans="1:11" s="85" customFormat="1" ht="15">
      <c r="A33" s="323" t="s">
        <v>36</v>
      </c>
      <c r="B33" s="1016" t="s">
        <v>146</v>
      </c>
      <c r="C33" s="1017"/>
      <c r="D33" s="1017"/>
      <c r="E33" s="1017"/>
      <c r="F33" s="1018"/>
      <c r="G33" s="83"/>
      <c r="H33" s="83"/>
      <c r="I33" s="83"/>
      <c r="J33" s="83"/>
      <c r="K33" s="84"/>
    </row>
    <row r="34" spans="1:11" s="85" customFormat="1" ht="15">
      <c r="A34" s="96" t="s">
        <v>213</v>
      </c>
      <c r="B34" s="320" t="s">
        <v>147</v>
      </c>
      <c r="C34" s="80"/>
      <c r="D34" s="321" t="s">
        <v>268</v>
      </c>
      <c r="E34" s="322">
        <f>'Form-Sb'!F509</f>
        <v>0</v>
      </c>
      <c r="F34" s="623">
        <f>'Form-Sb'!G509</f>
        <v>0</v>
      </c>
      <c r="G34" s="83"/>
      <c r="H34" s="83"/>
      <c r="I34" s="83"/>
      <c r="J34" s="83"/>
      <c r="K34" s="84"/>
    </row>
    <row r="35" spans="1:11" s="85" customFormat="1" ht="30">
      <c r="A35" s="96" t="s">
        <v>214</v>
      </c>
      <c r="B35" s="320" t="s">
        <v>148</v>
      </c>
      <c r="C35" s="80"/>
      <c r="D35" s="321" t="s">
        <v>149</v>
      </c>
      <c r="E35" s="322">
        <f>'Form-Sb'!F510</f>
        <v>0</v>
      </c>
      <c r="F35" s="623">
        <f>'Form-Sb'!G510</f>
        <v>0</v>
      </c>
      <c r="G35" s="83"/>
      <c r="H35" s="83"/>
      <c r="I35" s="83"/>
      <c r="J35" s="83"/>
      <c r="K35" s="84"/>
    </row>
    <row r="36" spans="1:11" s="85" customFormat="1" ht="30">
      <c r="A36" s="96" t="s">
        <v>215</v>
      </c>
      <c r="B36" s="320" t="s">
        <v>150</v>
      </c>
      <c r="C36" s="80"/>
      <c r="D36" s="321" t="s">
        <v>151</v>
      </c>
      <c r="E36" s="322">
        <f>'Form-Sb'!F511</f>
        <v>0</v>
      </c>
      <c r="F36" s="623">
        <f>'Form-Sb'!G511</f>
        <v>0</v>
      </c>
      <c r="G36" s="83"/>
      <c r="H36" s="83"/>
      <c r="I36" s="83"/>
      <c r="J36" s="83"/>
      <c r="K36" s="84"/>
    </row>
    <row r="37" spans="1:11" s="85" customFormat="1" ht="15">
      <c r="A37" s="323" t="s">
        <v>38</v>
      </c>
      <c r="B37" s="1016" t="s">
        <v>224</v>
      </c>
      <c r="C37" s="1017"/>
      <c r="D37" s="1017"/>
      <c r="E37" s="1017"/>
      <c r="F37" s="1018"/>
      <c r="G37" s="83"/>
      <c r="H37" s="83"/>
      <c r="I37" s="83"/>
      <c r="J37" s="83"/>
      <c r="K37" s="84"/>
    </row>
    <row r="38" spans="1:11" s="85" customFormat="1" ht="15">
      <c r="A38" s="82" t="s">
        <v>216</v>
      </c>
      <c r="B38" s="1035" t="s">
        <v>167</v>
      </c>
      <c r="C38" s="1014"/>
      <c r="D38" s="1014"/>
      <c r="E38" s="1014"/>
      <c r="F38" s="1015"/>
      <c r="G38" s="83"/>
      <c r="H38" s="83"/>
      <c r="I38" s="83"/>
      <c r="J38" s="83"/>
      <c r="K38" s="84"/>
    </row>
    <row r="39" spans="1:11" ht="27" customHeight="1">
      <c r="A39" s="95" t="s">
        <v>43</v>
      </c>
      <c r="B39" s="97" t="str">
        <f>'Form-Sb'!B123</f>
        <v>Total Electricity  Purchased from grid/ Other with out colony/construction  power etc</v>
      </c>
      <c r="C39" s="98" t="s">
        <v>110</v>
      </c>
      <c r="D39" s="99" t="s">
        <v>99</v>
      </c>
      <c r="E39" s="108" t="e">
        <f>'Form-Sb'!F123</f>
        <v>#DIV/0!</v>
      </c>
      <c r="F39" s="109">
        <f>'Form-Sb'!G123</f>
        <v>0</v>
      </c>
      <c r="H39" s="81"/>
      <c r="I39" s="81"/>
      <c r="J39" s="81"/>
      <c r="K39" s="54"/>
    </row>
    <row r="40" spans="1:11" ht="15">
      <c r="A40" s="95" t="s">
        <v>44</v>
      </c>
      <c r="B40" s="97" t="str">
        <f>'Form-Sb'!B107</f>
        <v>Purchased Electricity from grid (SEB)</v>
      </c>
      <c r="C40" s="98" t="s">
        <v>110</v>
      </c>
      <c r="D40" s="91" t="s">
        <v>99</v>
      </c>
      <c r="E40" s="108" t="e">
        <f>'Form-Sb'!F107</f>
        <v>#DIV/0!</v>
      </c>
      <c r="F40" s="109">
        <f>'Form-Sb'!G107</f>
        <v>0</v>
      </c>
      <c r="H40" s="81"/>
      <c r="I40" s="81"/>
      <c r="J40" s="81"/>
      <c r="K40" s="54"/>
    </row>
    <row r="41" spans="1:11" ht="15">
      <c r="A41" s="95" t="s">
        <v>45</v>
      </c>
      <c r="B41" s="97" t="str">
        <f>'Form-Sb'!B108</f>
        <v>Renewable Electricity (Through Wheeling)</v>
      </c>
      <c r="C41" s="98" t="s">
        <v>110</v>
      </c>
      <c r="D41" s="91" t="s">
        <v>99</v>
      </c>
      <c r="E41" s="108" t="e">
        <f>'Form-Sb'!F108</f>
        <v>#DIV/0!</v>
      </c>
      <c r="F41" s="109">
        <f>'Form-Sb'!G108</f>
        <v>0</v>
      </c>
      <c r="H41" s="81"/>
      <c r="I41" s="81"/>
      <c r="J41" s="81"/>
      <c r="K41" s="54"/>
    </row>
    <row r="42" spans="1:11" ht="30">
      <c r="A42" s="95" t="s">
        <v>46</v>
      </c>
      <c r="B42" s="97" t="str">
        <f>'Form-Sb'!B109</f>
        <v>Electricity from CPP located outside from plant boundary (Through Wheeling)</v>
      </c>
      <c r="C42" s="98" t="s">
        <v>110</v>
      </c>
      <c r="D42" s="91" t="s">
        <v>99</v>
      </c>
      <c r="E42" s="108" t="e">
        <f>'Form-Sb'!F109</f>
        <v>#DIV/0!</v>
      </c>
      <c r="F42" s="109">
        <f>'Form-Sb'!G109</f>
        <v>0</v>
      </c>
      <c r="H42" s="81"/>
      <c r="I42" s="81"/>
      <c r="J42" s="81"/>
      <c r="K42" s="54"/>
    </row>
    <row r="43" spans="1:11" ht="15">
      <c r="A43" s="95" t="s">
        <v>47</v>
      </c>
      <c r="B43" s="97" t="str">
        <f>'Form-Sb'!B116</f>
        <v>Plant Connected Load </v>
      </c>
      <c r="C43" s="98" t="s">
        <v>110</v>
      </c>
      <c r="D43" s="91" t="s">
        <v>24</v>
      </c>
      <c r="E43" s="108" t="e">
        <f>'Form-Sb'!F116</f>
        <v>#DIV/0!</v>
      </c>
      <c r="F43" s="109">
        <f>'Form-Sb'!G116</f>
        <v>0</v>
      </c>
      <c r="H43" s="81"/>
      <c r="I43" s="81"/>
      <c r="J43" s="81"/>
      <c r="K43" s="54"/>
    </row>
    <row r="44" spans="1:11" ht="15">
      <c r="A44" s="95" t="s">
        <v>48</v>
      </c>
      <c r="B44" s="97" t="str">
        <f>'Form-Sb'!B117</f>
        <v>Contract Demand with utility</v>
      </c>
      <c r="C44" s="100"/>
      <c r="D44" s="91" t="s">
        <v>34</v>
      </c>
      <c r="E44" s="108" t="e">
        <f>'Form-Sb'!F117</f>
        <v>#DIV/0!</v>
      </c>
      <c r="F44" s="109">
        <f>'Form-Sb'!G117</f>
        <v>0</v>
      </c>
      <c r="H44" s="81"/>
      <c r="I44" s="81"/>
      <c r="J44" s="81"/>
      <c r="K44" s="54"/>
    </row>
    <row r="45" spans="1:11" ht="15">
      <c r="A45" s="95"/>
      <c r="B45" s="93"/>
      <c r="C45" s="36"/>
      <c r="D45" s="91"/>
      <c r="E45" s="99"/>
      <c r="F45" s="101"/>
      <c r="H45" s="81"/>
      <c r="I45" s="81"/>
      <c r="J45" s="81"/>
      <c r="K45" s="54"/>
    </row>
    <row r="46" spans="1:11" s="85" customFormat="1" ht="15">
      <c r="A46" s="82" t="s">
        <v>55</v>
      </c>
      <c r="B46" s="1035" t="s">
        <v>61</v>
      </c>
      <c r="C46" s="1014"/>
      <c r="D46" s="1014"/>
      <c r="E46" s="1014"/>
      <c r="F46" s="1015"/>
      <c r="G46" s="83"/>
      <c r="H46" s="83"/>
      <c r="I46" s="83"/>
      <c r="J46" s="83"/>
      <c r="K46" s="84"/>
    </row>
    <row r="47" spans="1:11" s="85" customFormat="1" ht="15">
      <c r="A47" s="102" t="s">
        <v>217</v>
      </c>
      <c r="B47" s="103" t="s">
        <v>8</v>
      </c>
      <c r="C47" s="104"/>
      <c r="D47" s="105"/>
      <c r="E47" s="105"/>
      <c r="F47" s="106"/>
      <c r="G47" s="83"/>
      <c r="H47" s="83"/>
      <c r="I47" s="83"/>
      <c r="J47" s="83"/>
      <c r="K47" s="84"/>
    </row>
    <row r="48" spans="1:11" s="85" customFormat="1" ht="15">
      <c r="A48" s="95" t="s">
        <v>43</v>
      </c>
      <c r="B48" s="97" t="str">
        <f>'Form-Sb'!B129</f>
        <v>Installed Capacity</v>
      </c>
      <c r="C48" s="104"/>
      <c r="D48" s="99" t="s">
        <v>99</v>
      </c>
      <c r="E48" s="105" t="e">
        <f>'Form-Sb'!F129</f>
        <v>#DIV/0!</v>
      </c>
      <c r="F48" s="107">
        <f>'Form-Sb'!G129</f>
        <v>0</v>
      </c>
      <c r="G48" s="83"/>
      <c r="H48" s="83"/>
      <c r="I48" s="83"/>
      <c r="J48" s="83"/>
      <c r="K48" s="84"/>
    </row>
    <row r="49" spans="1:11" ht="33.75" customHeight="1">
      <c r="A49" s="95" t="s">
        <v>44</v>
      </c>
      <c r="B49" s="97" t="s">
        <v>264</v>
      </c>
      <c r="C49" s="98" t="s">
        <v>183</v>
      </c>
      <c r="D49" s="99" t="s">
        <v>99</v>
      </c>
      <c r="E49" s="105" t="e">
        <f>'Form-Sb'!F130</f>
        <v>#DIV/0!</v>
      </c>
      <c r="F49" s="107">
        <f>'Form-Sb'!G130</f>
        <v>0</v>
      </c>
      <c r="H49" s="81"/>
      <c r="I49" s="81"/>
      <c r="J49" s="81"/>
      <c r="K49" s="54"/>
    </row>
    <row r="50" spans="1:11" ht="15">
      <c r="A50" s="95" t="s">
        <v>45</v>
      </c>
      <c r="B50" s="93" t="s">
        <v>98</v>
      </c>
      <c r="C50" s="36"/>
      <c r="D50" s="91" t="s">
        <v>238</v>
      </c>
      <c r="E50" s="108">
        <f>'Form-Sb'!F504</f>
        <v>0</v>
      </c>
      <c r="F50" s="109">
        <f>'Form-Sb'!G504</f>
        <v>0</v>
      </c>
      <c r="H50" s="81"/>
      <c r="I50" s="81"/>
      <c r="J50" s="81"/>
      <c r="K50" s="54"/>
    </row>
    <row r="51" spans="1:11" s="85" customFormat="1" ht="15">
      <c r="A51" s="110" t="s">
        <v>218</v>
      </c>
      <c r="B51" s="1029" t="s">
        <v>57</v>
      </c>
      <c r="C51" s="1029"/>
      <c r="D51" s="1030"/>
      <c r="E51" s="1030"/>
      <c r="F51" s="1031"/>
      <c r="G51" s="83"/>
      <c r="H51" s="83"/>
      <c r="I51" s="83"/>
      <c r="J51" s="83"/>
      <c r="K51" s="84"/>
    </row>
    <row r="52" spans="1:7" s="80" customFormat="1" ht="15">
      <c r="A52" s="95" t="s">
        <v>43</v>
      </c>
      <c r="B52" s="98" t="str">
        <f>'Form-Sb'!B217</f>
        <v>Installed Capacity</v>
      </c>
      <c r="C52" s="619"/>
      <c r="D52" s="99" t="s">
        <v>59</v>
      </c>
      <c r="E52" s="111" t="e">
        <f>'Form-Sb'!F217</f>
        <v>#DIV/0!</v>
      </c>
      <c r="F52" s="624">
        <f>'Form-Sb'!G217</f>
        <v>0</v>
      </c>
      <c r="G52" s="79"/>
    </row>
    <row r="53" spans="1:11" ht="15">
      <c r="A53" s="112" t="s">
        <v>44</v>
      </c>
      <c r="B53" s="113" t="s">
        <v>265</v>
      </c>
      <c r="C53" s="114"/>
      <c r="D53" s="115" t="s">
        <v>99</v>
      </c>
      <c r="E53" s="111" t="e">
        <f>'Form-Sb'!F218</f>
        <v>#DIV/0!</v>
      </c>
      <c r="F53" s="624">
        <f>'Form-Sb'!G218</f>
        <v>0</v>
      </c>
      <c r="H53" s="81"/>
      <c r="I53" s="81"/>
      <c r="J53" s="81"/>
      <c r="K53" s="54"/>
    </row>
    <row r="54" spans="1:11" ht="15">
      <c r="A54" s="95" t="s">
        <v>45</v>
      </c>
      <c r="B54" s="718" t="s">
        <v>20</v>
      </c>
      <c r="C54" s="425"/>
      <c r="D54" s="91" t="s">
        <v>257</v>
      </c>
      <c r="E54" s="719">
        <f>'Form-Sb'!F505</f>
        <v>0</v>
      </c>
      <c r="F54" s="720">
        <f>'Form-Sb'!G505</f>
        <v>0</v>
      </c>
      <c r="H54" s="81"/>
      <c r="I54" s="81"/>
      <c r="J54" s="81"/>
      <c r="K54" s="54"/>
    </row>
    <row r="55" spans="1:11" ht="15">
      <c r="A55" s="95" t="s">
        <v>46</v>
      </c>
      <c r="B55" s="116" t="s">
        <v>21</v>
      </c>
      <c r="C55" s="100"/>
      <c r="D55" s="91" t="s">
        <v>3</v>
      </c>
      <c r="E55" s="111">
        <f>'Form-Sb'!F219</f>
        <v>0</v>
      </c>
      <c r="F55" s="624">
        <f>'Form-Sb'!G219</f>
        <v>0</v>
      </c>
      <c r="H55" s="81"/>
      <c r="I55" s="81"/>
      <c r="J55" s="81"/>
      <c r="K55" s="54"/>
    </row>
    <row r="56" spans="1:11" ht="15">
      <c r="A56" s="95" t="s">
        <v>47</v>
      </c>
      <c r="B56" s="116" t="str">
        <f>'Form-Sb'!B220</f>
        <v>Design Gross Heat Rate </v>
      </c>
      <c r="C56" s="100"/>
      <c r="D56" s="91" t="s">
        <v>238</v>
      </c>
      <c r="E56" s="111">
        <f>'Form-Sb'!F220</f>
        <v>0</v>
      </c>
      <c r="F56" s="624">
        <f>'Form-Sb'!G220</f>
        <v>0</v>
      </c>
      <c r="H56" s="81"/>
      <c r="I56" s="81"/>
      <c r="J56" s="81"/>
      <c r="K56" s="54"/>
    </row>
    <row r="57" spans="1:11" ht="15">
      <c r="A57" s="95" t="s">
        <v>48</v>
      </c>
      <c r="B57" s="116" t="s">
        <v>234</v>
      </c>
      <c r="C57" s="100"/>
      <c r="D57" s="91" t="s">
        <v>3</v>
      </c>
      <c r="E57" s="117">
        <f>'Form-Sb'!F227</f>
        <v>0</v>
      </c>
      <c r="F57" s="625">
        <f>'Form-Sb'!G227</f>
        <v>0</v>
      </c>
      <c r="H57" s="81"/>
      <c r="I57" s="81"/>
      <c r="J57" s="81"/>
      <c r="K57" s="54"/>
    </row>
    <row r="58" spans="1:11" s="85" customFormat="1" ht="15">
      <c r="A58" s="82" t="s">
        <v>115</v>
      </c>
      <c r="B58" s="118" t="s">
        <v>1209</v>
      </c>
      <c r="C58" s="119"/>
      <c r="D58" s="120" t="s">
        <v>238</v>
      </c>
      <c r="E58" s="123">
        <f>'Form-Sb'!F507</f>
        <v>0</v>
      </c>
      <c r="F58" s="123">
        <f>'Form-Sb'!G507</f>
        <v>0</v>
      </c>
      <c r="G58" s="83"/>
      <c r="H58" s="83"/>
      <c r="I58" s="83"/>
      <c r="J58" s="83"/>
      <c r="K58" s="84"/>
    </row>
    <row r="59" spans="1:11" s="85" customFormat="1" ht="15">
      <c r="A59" s="82" t="s">
        <v>219</v>
      </c>
      <c r="B59" s="118" t="s">
        <v>67</v>
      </c>
      <c r="C59" s="119"/>
      <c r="D59" s="120" t="s">
        <v>99</v>
      </c>
      <c r="E59" s="122" t="e">
        <f>'Form-Sb'!F254</f>
        <v>#DIV/0!</v>
      </c>
      <c r="F59" s="627">
        <f>'Form-Sb'!G254</f>
        <v>0</v>
      </c>
      <c r="G59" s="83"/>
      <c r="H59" s="83"/>
      <c r="I59" s="83"/>
      <c r="J59" s="83"/>
      <c r="K59" s="84"/>
    </row>
    <row r="60" spans="1:11" s="85" customFormat="1" ht="15">
      <c r="A60" s="82" t="s">
        <v>220</v>
      </c>
      <c r="B60" s="118" t="s">
        <v>68</v>
      </c>
      <c r="C60" s="119"/>
      <c r="D60" s="120" t="s">
        <v>99</v>
      </c>
      <c r="E60" s="121" t="e">
        <f>'Form-Sb'!F257</f>
        <v>#DIV/0!</v>
      </c>
      <c r="F60" s="628">
        <f>'Form-Sb'!G257</f>
        <v>0</v>
      </c>
      <c r="G60" s="83"/>
      <c r="H60" s="83"/>
      <c r="I60" s="83"/>
      <c r="J60" s="83"/>
      <c r="K60" s="84"/>
    </row>
    <row r="61" spans="1:11" s="85" customFormat="1" ht="27.75" customHeight="1">
      <c r="A61" s="82" t="s">
        <v>221</v>
      </c>
      <c r="B61" s="118" t="s">
        <v>180</v>
      </c>
      <c r="C61" s="119"/>
      <c r="D61" s="120" t="s">
        <v>231</v>
      </c>
      <c r="E61" s="120" t="e">
        <f>E60*2717/10</f>
        <v>#DIV/0!</v>
      </c>
      <c r="F61" s="629">
        <f>F60*2717/10</f>
        <v>0</v>
      </c>
      <c r="G61" s="83"/>
      <c r="H61" s="83"/>
      <c r="I61" s="83"/>
      <c r="J61" s="83"/>
      <c r="K61" s="84"/>
    </row>
    <row r="62" spans="1:11" s="85" customFormat="1" ht="15">
      <c r="A62" s="82" t="s">
        <v>258</v>
      </c>
      <c r="B62" s="118" t="s">
        <v>168</v>
      </c>
      <c r="C62" s="119"/>
      <c r="D62" s="120" t="s">
        <v>99</v>
      </c>
      <c r="E62" s="123" t="e">
        <f>E59+E39-E60</f>
        <v>#DIV/0!</v>
      </c>
      <c r="F62" s="626">
        <f>F59+F39-F60</f>
        <v>0</v>
      </c>
      <c r="G62" s="83"/>
      <c r="H62" s="83"/>
      <c r="I62" s="83"/>
      <c r="J62" s="83"/>
      <c r="K62" s="84"/>
    </row>
    <row r="63" spans="1:11" s="85" customFormat="1" ht="15.75">
      <c r="A63" s="82" t="s">
        <v>40</v>
      </c>
      <c r="B63" s="1032" t="s">
        <v>199</v>
      </c>
      <c r="C63" s="1033"/>
      <c r="D63" s="1033"/>
      <c r="E63" s="1033"/>
      <c r="F63" s="1034"/>
      <c r="G63" s="83"/>
      <c r="H63" s="83"/>
      <c r="I63" s="83"/>
      <c r="J63" s="83"/>
      <c r="K63" s="84"/>
    </row>
    <row r="64" spans="1:11" s="85" customFormat="1" ht="15">
      <c r="A64" s="82" t="s">
        <v>41</v>
      </c>
      <c r="B64" s="124" t="s">
        <v>201</v>
      </c>
      <c r="C64" s="125" t="s">
        <v>203</v>
      </c>
      <c r="D64" s="126" t="s">
        <v>269</v>
      </c>
      <c r="E64" s="127">
        <f>'Form-Sb'!F289</f>
        <v>0</v>
      </c>
      <c r="F64" s="630">
        <f>'Form-Sb'!G289</f>
        <v>0</v>
      </c>
      <c r="G64" s="83"/>
      <c r="H64" s="83"/>
      <c r="I64" s="83"/>
      <c r="J64" s="83"/>
      <c r="K64" s="84"/>
    </row>
    <row r="65" spans="1:11" s="85" customFormat="1" ht="15">
      <c r="A65" s="82" t="s">
        <v>56</v>
      </c>
      <c r="B65" s="124" t="s">
        <v>202</v>
      </c>
      <c r="C65" s="125" t="s">
        <v>204</v>
      </c>
      <c r="D65" s="126" t="s">
        <v>269</v>
      </c>
      <c r="E65" s="127">
        <f>'Form-Sb'!F288</f>
        <v>0</v>
      </c>
      <c r="F65" s="630">
        <f>'Form-Sb'!G288</f>
        <v>0</v>
      </c>
      <c r="G65" s="83"/>
      <c r="H65" s="83"/>
      <c r="I65" s="83"/>
      <c r="J65" s="83"/>
      <c r="K65" s="84"/>
    </row>
    <row r="66" spans="1:11" s="85" customFormat="1" ht="15">
      <c r="A66" s="82" t="s">
        <v>119</v>
      </c>
      <c r="B66" s="124" t="s">
        <v>254</v>
      </c>
      <c r="C66" s="125"/>
      <c r="D66" s="126" t="s">
        <v>269</v>
      </c>
      <c r="E66" s="127">
        <f>'Form-Sb'!F264</f>
        <v>0</v>
      </c>
      <c r="F66" s="630">
        <f>'Form-Sb'!G264</f>
        <v>0</v>
      </c>
      <c r="G66" s="83"/>
      <c r="H66" s="83"/>
      <c r="I66" s="83"/>
      <c r="J66" s="83"/>
      <c r="K66" s="84"/>
    </row>
    <row r="67" spans="1:11" s="85" customFormat="1" ht="15">
      <c r="A67" s="82" t="s">
        <v>222</v>
      </c>
      <c r="B67" s="124" t="s">
        <v>200</v>
      </c>
      <c r="C67" s="125"/>
      <c r="D67" s="126" t="s">
        <v>269</v>
      </c>
      <c r="E67" s="127">
        <f>'Form-Sb'!F276</f>
        <v>0</v>
      </c>
      <c r="F67" s="630">
        <f>'Form-Sb'!G276</f>
        <v>0</v>
      </c>
      <c r="G67" s="83"/>
      <c r="H67" s="83"/>
      <c r="I67" s="83"/>
      <c r="J67" s="83"/>
      <c r="K67" s="84"/>
    </row>
    <row r="68" spans="1:11" s="85" customFormat="1" ht="15">
      <c r="A68" s="82" t="s">
        <v>223</v>
      </c>
      <c r="B68" s="124" t="s">
        <v>270</v>
      </c>
      <c r="C68" s="125"/>
      <c r="D68" s="126" t="s">
        <v>269</v>
      </c>
      <c r="E68" s="127">
        <f>'Form-Sb'!F392</f>
        <v>0</v>
      </c>
      <c r="F68" s="630">
        <f>'Form-Sb'!G392</f>
        <v>0</v>
      </c>
      <c r="G68" s="83"/>
      <c r="H68" s="83"/>
      <c r="I68" s="83"/>
      <c r="J68" s="83"/>
      <c r="K68" s="84"/>
    </row>
    <row r="69" spans="1:11" s="85" customFormat="1" ht="15">
      <c r="A69" s="128" t="s">
        <v>272</v>
      </c>
      <c r="B69" s="129" t="s">
        <v>271</v>
      </c>
      <c r="C69" s="130"/>
      <c r="D69" s="126" t="s">
        <v>269</v>
      </c>
      <c r="E69" s="131">
        <f>'Form-Sb'!F429</f>
        <v>0</v>
      </c>
      <c r="F69" s="631">
        <f>'Form-Sb'!G429</f>
        <v>0</v>
      </c>
      <c r="G69" s="83"/>
      <c r="H69" s="83"/>
      <c r="I69" s="83"/>
      <c r="J69" s="83"/>
      <c r="K69" s="84"/>
    </row>
    <row r="70" spans="1:11" s="138" customFormat="1" ht="15">
      <c r="A70" s="132" t="s">
        <v>42</v>
      </c>
      <c r="B70" s="133" t="s">
        <v>117</v>
      </c>
      <c r="C70" s="134"/>
      <c r="D70" s="134" t="s">
        <v>231</v>
      </c>
      <c r="E70" s="135">
        <f>'Form-Sb'!F501</f>
        <v>0</v>
      </c>
      <c r="F70" s="632">
        <f>'Form-Sb'!G501</f>
        <v>0</v>
      </c>
      <c r="G70" s="136"/>
      <c r="H70" s="136"/>
      <c r="I70" s="136"/>
      <c r="J70" s="136"/>
      <c r="K70" s="137"/>
    </row>
    <row r="71" spans="1:11" s="139" customFormat="1" ht="31.5" customHeight="1" thickBot="1">
      <c r="A71" s="869" t="s">
        <v>236</v>
      </c>
      <c r="B71" s="140" t="s">
        <v>239</v>
      </c>
      <c r="C71" s="141"/>
      <c r="D71" s="141" t="s">
        <v>238</v>
      </c>
      <c r="E71" s="141">
        <v>3208</v>
      </c>
      <c r="F71" s="633">
        <v>3208</v>
      </c>
      <c r="G71" s="142"/>
      <c r="H71" s="143"/>
      <c r="I71" s="144"/>
      <c r="J71" s="144"/>
      <c r="K71" s="145"/>
    </row>
    <row r="72" spans="1:8" s="139" customFormat="1" ht="35.25" customHeight="1">
      <c r="A72" s="146"/>
      <c r="B72" s="147"/>
      <c r="C72" s="147"/>
      <c r="D72" s="148"/>
      <c r="E72" s="147"/>
      <c r="F72" s="147"/>
      <c r="G72" s="147"/>
      <c r="H72" s="149"/>
    </row>
    <row r="73" spans="1:8" ht="15">
      <c r="A73" s="146"/>
      <c r="B73" s="150"/>
      <c r="C73" s="146"/>
      <c r="D73" s="151"/>
      <c r="E73" s="146"/>
      <c r="F73" s="146"/>
      <c r="G73" s="146"/>
      <c r="H73" s="152"/>
    </row>
    <row r="74" spans="1:8" ht="0" customHeight="1" hidden="1">
      <c r="A74" s="146"/>
      <c r="B74" s="150"/>
      <c r="C74" s="146"/>
      <c r="D74" s="151"/>
      <c r="E74" s="146"/>
      <c r="F74" s="1027" t="s">
        <v>196</v>
      </c>
      <c r="G74" s="1027"/>
      <c r="H74" s="1028"/>
    </row>
    <row r="75" spans="1:8" ht="0" customHeight="1" hidden="1">
      <c r="A75" s="146"/>
      <c r="B75" s="153" t="s">
        <v>197</v>
      </c>
      <c r="C75" s="146"/>
      <c r="D75" s="151"/>
      <c r="E75" s="146"/>
      <c r="F75" s="146"/>
      <c r="G75" s="146"/>
      <c r="H75" s="152"/>
    </row>
    <row r="76" spans="1:8" ht="0" customHeight="1" hidden="1">
      <c r="A76" s="146"/>
      <c r="B76" s="153"/>
      <c r="C76" s="146"/>
      <c r="D76" s="151"/>
      <c r="E76" s="146"/>
      <c r="F76" s="146"/>
      <c r="G76" s="146"/>
      <c r="H76" s="152"/>
    </row>
    <row r="77" spans="1:8" ht="0" customHeight="1" hidden="1">
      <c r="A77" s="146"/>
      <c r="B77" s="153" t="s">
        <v>198</v>
      </c>
      <c r="C77" s="146"/>
      <c r="D77" s="151"/>
      <c r="E77" s="146"/>
      <c r="F77" s="146"/>
      <c r="G77" s="146"/>
      <c r="H77" s="152"/>
    </row>
    <row r="78" spans="1:8" ht="0" customHeight="1" hidden="1">
      <c r="A78" s="146"/>
      <c r="B78" s="150"/>
      <c r="C78" s="146"/>
      <c r="D78" s="151"/>
      <c r="E78" s="146"/>
      <c r="F78" s="1027" t="s">
        <v>196</v>
      </c>
      <c r="G78" s="1027"/>
      <c r="H78" s="1028"/>
    </row>
    <row r="79" spans="1:8" ht="0" customHeight="1" hidden="1">
      <c r="A79" s="146"/>
      <c r="B79" s="153" t="s">
        <v>197</v>
      </c>
      <c r="C79" s="146"/>
      <c r="D79" s="151"/>
      <c r="E79" s="146"/>
      <c r="F79" s="146"/>
      <c r="G79" s="146"/>
      <c r="H79" s="152"/>
    </row>
    <row r="80" spans="1:8" ht="0" customHeight="1" hidden="1">
      <c r="A80" s="146"/>
      <c r="B80" s="153"/>
      <c r="C80" s="146"/>
      <c r="D80" s="151"/>
      <c r="E80" s="146"/>
      <c r="F80" s="146"/>
      <c r="G80" s="146"/>
      <c r="H80" s="152"/>
    </row>
    <row r="81" spans="1:8" ht="0" customHeight="1" hidden="1">
      <c r="A81" s="146"/>
      <c r="B81" s="153" t="s">
        <v>198</v>
      </c>
      <c r="C81" s="146"/>
      <c r="D81" s="151"/>
      <c r="E81" s="146"/>
      <c r="F81" s="146"/>
      <c r="G81" s="146"/>
      <c r="H81" s="152"/>
    </row>
  </sheetData>
  <sheetProtection password="997B" sheet="1"/>
  <mergeCells count="17">
    <mergeCell ref="F78:H78"/>
    <mergeCell ref="F74:H74"/>
    <mergeCell ref="B51:F51"/>
    <mergeCell ref="B63:F63"/>
    <mergeCell ref="B37:F37"/>
    <mergeCell ref="B38:F38"/>
    <mergeCell ref="B46:F46"/>
    <mergeCell ref="G23:K23"/>
    <mergeCell ref="B33:F33"/>
    <mergeCell ref="A2:F2"/>
    <mergeCell ref="A3:F3"/>
    <mergeCell ref="A4:B4"/>
    <mergeCell ref="C4:F4"/>
    <mergeCell ref="B6:F6"/>
    <mergeCell ref="B23:F23"/>
    <mergeCell ref="B28:F28"/>
    <mergeCell ref="G28:H28"/>
  </mergeCells>
  <conditionalFormatting sqref="E47:F50 L23 E64:F69 E24:F27 E34:F36 E39:F45 E58:F62 E7:F22 E29:F32">
    <cfRule type="cellIs" priority="3" dxfId="1" operator="equal" stopIfTrue="1">
      <formula>"NA"</formula>
    </cfRule>
    <cfRule type="cellIs" priority="4" dxfId="0" operator="equal" stopIfTrue="1">
      <formula>"NA"</formula>
    </cfRule>
  </conditionalFormatting>
  <printOptions horizontalCentered="1" verticalCentered="1"/>
  <pageMargins left="0.11811023622047245" right="0" top="0.11811023622047245" bottom="0" header="0.31496062992125984" footer="0.11811023622047245"/>
  <pageSetup fitToHeight="1" fitToWidth="1" horizontalDpi="600" verticalDpi="600" orientation="portrait" paperSize="9" scale="61" r:id="rId3"/>
  <headerFooter alignWithMargins="0">
    <oddFooter>&amp;C&amp;P&amp;RNote: Not to be quoted and not to be published without prior permission</oddFooter>
  </headerFooter>
  <legacyDrawing r:id="rId2"/>
</worksheet>
</file>

<file path=xl/worksheets/sheet6.xml><?xml version="1.0" encoding="utf-8"?>
<worksheet xmlns="http://schemas.openxmlformats.org/spreadsheetml/2006/main" xmlns:r="http://schemas.openxmlformats.org/officeDocument/2006/relationships">
  <dimension ref="A1:IV137"/>
  <sheetViews>
    <sheetView showGridLines="0" zoomScale="90" zoomScaleNormal="90" zoomScalePageLayoutView="0" workbookViewId="0" topLeftCell="A4">
      <selection activeCell="E35" sqref="E35"/>
    </sheetView>
  </sheetViews>
  <sheetFormatPr defaultColWidth="0.5625" defaultRowHeight="15" zeroHeight="1"/>
  <cols>
    <col min="1" max="1" width="5.8515625" style="73" customWidth="1"/>
    <col min="2" max="2" width="43.8515625" style="34" customWidth="1"/>
    <col min="3" max="3" width="65.8515625" style="34" customWidth="1"/>
    <col min="4" max="4" width="18.00390625" style="73" bestFit="1" customWidth="1"/>
    <col min="5" max="5" width="18.421875" style="34" customWidth="1"/>
    <col min="6" max="6" width="17.28125" style="34" customWidth="1"/>
    <col min="7" max="255" width="0" style="34" hidden="1" customWidth="1"/>
    <col min="256" max="16384" width="0.5625" style="34" customWidth="1"/>
  </cols>
  <sheetData>
    <row r="1" spans="1:6" ht="29.25" thickBot="1">
      <c r="A1" s="1044" t="s">
        <v>1247</v>
      </c>
      <c r="B1" s="1045"/>
      <c r="C1" s="1045"/>
      <c r="D1" s="1045"/>
      <c r="E1" s="1045"/>
      <c r="F1" s="1046"/>
    </row>
    <row r="2" spans="1:6" s="157" customFormat="1" ht="27.75" customHeight="1" thickBot="1">
      <c r="A2" s="1039" t="str">
        <f>'Base line Parameters'!A3</f>
        <v>Sector :-  Cement Sector</v>
      </c>
      <c r="B2" s="1040"/>
      <c r="C2" s="1040"/>
      <c r="D2" s="1040"/>
      <c r="E2" s="1040"/>
      <c r="F2" s="1041"/>
    </row>
    <row r="3" spans="1:7" s="162" customFormat="1" ht="27.75" customHeight="1">
      <c r="A3" s="1042" t="str">
        <f>'Base line Parameters'!A4</f>
        <v>Name of the Unit</v>
      </c>
      <c r="B3" s="1043"/>
      <c r="C3" s="158" t="str">
        <f>'Base line Parameters'!C4</f>
        <v>  </v>
      </c>
      <c r="D3" s="159"/>
      <c r="E3" s="159"/>
      <c r="F3" s="160"/>
      <c r="G3" s="161"/>
    </row>
    <row r="4" spans="1:6" s="729" customFormat="1" ht="27.75" customHeight="1">
      <c r="A4" s="1051" t="s">
        <v>1270</v>
      </c>
      <c r="B4" s="1052"/>
      <c r="C4" s="728" t="str">
        <f>'General Information'!F6</f>
        <v>PPC</v>
      </c>
      <c r="D4" s="727"/>
      <c r="E4" s="727"/>
      <c r="F4" s="748"/>
    </row>
    <row r="5" spans="1:6" ht="47.25" customHeight="1">
      <c r="A5" s="721" t="s">
        <v>368</v>
      </c>
      <c r="B5" s="722" t="s">
        <v>1</v>
      </c>
      <c r="C5" s="723" t="s">
        <v>122</v>
      </c>
      <c r="D5" s="724" t="s">
        <v>2</v>
      </c>
      <c r="E5" s="725" t="str">
        <f>'Base line Parameters'!E5</f>
        <v>Baseline Year (Average of year1 to Year 3)</v>
      </c>
      <c r="F5" s="725" t="str">
        <f>'Base line Parameters'!F5</f>
        <v>Current/Assessment /Target Year    (20__-20__)</v>
      </c>
    </row>
    <row r="6" spans="1:6" ht="14.25" customHeight="1">
      <c r="A6" s="163">
        <v>1</v>
      </c>
      <c r="B6" s="164" t="s">
        <v>121</v>
      </c>
      <c r="C6" s="165"/>
      <c r="D6" s="166"/>
      <c r="E6" s="167"/>
      <c r="F6" s="168"/>
    </row>
    <row r="7" spans="1:6" ht="14.25" customHeight="1">
      <c r="A7" s="169" t="s">
        <v>123</v>
      </c>
      <c r="B7" s="170" t="s">
        <v>80</v>
      </c>
      <c r="C7" s="171" t="s">
        <v>124</v>
      </c>
      <c r="D7" s="172" t="s">
        <v>266</v>
      </c>
      <c r="E7" s="173" t="e">
        <f>'Base line Parameters'!E9/10^5</f>
        <v>#DIV/0!</v>
      </c>
      <c r="F7" s="174">
        <f>'Base line Parameters'!F9/10^5</f>
        <v>0</v>
      </c>
    </row>
    <row r="8" spans="1:6" ht="14.25" customHeight="1">
      <c r="A8" s="169" t="s">
        <v>125</v>
      </c>
      <c r="B8" s="170" t="s">
        <v>178</v>
      </c>
      <c r="C8" s="171" t="s">
        <v>124</v>
      </c>
      <c r="D8" s="172" t="s">
        <v>266</v>
      </c>
      <c r="E8" s="173" t="e">
        <f>'Base line Parameters'!E10/10^5</f>
        <v>#DIV/0!</v>
      </c>
      <c r="F8" s="174">
        <f>'Base line Parameters'!F10/10^5</f>
        <v>0</v>
      </c>
    </row>
    <row r="9" spans="1:6" ht="14.25" customHeight="1">
      <c r="A9" s="169" t="s">
        <v>137</v>
      </c>
      <c r="B9" s="170" t="s">
        <v>188</v>
      </c>
      <c r="C9" s="171" t="s">
        <v>110</v>
      </c>
      <c r="D9" s="172" t="s">
        <v>76</v>
      </c>
      <c r="E9" s="173" t="e">
        <f>'Base line Parameters'!E11</f>
        <v>#DIV/0!</v>
      </c>
      <c r="F9" s="174">
        <f>'Base line Parameters'!F11</f>
        <v>0</v>
      </c>
    </row>
    <row r="10" spans="1:6" ht="14.25" customHeight="1">
      <c r="A10" s="169" t="s">
        <v>126</v>
      </c>
      <c r="B10" s="170" t="s">
        <v>189</v>
      </c>
      <c r="C10" s="171" t="s">
        <v>110</v>
      </c>
      <c r="D10" s="172" t="s">
        <v>76</v>
      </c>
      <c r="E10" s="173" t="e">
        <f>'Base line Parameters'!E12</f>
        <v>#DIV/0!</v>
      </c>
      <c r="F10" s="174">
        <f>'Base line Parameters'!F12</f>
        <v>0</v>
      </c>
    </row>
    <row r="11" spans="1:6" s="175" customFormat="1" ht="14.25" customHeight="1">
      <c r="A11" s="169" t="s">
        <v>128</v>
      </c>
      <c r="B11" s="170" t="s">
        <v>190</v>
      </c>
      <c r="C11" s="171" t="s">
        <v>110</v>
      </c>
      <c r="D11" s="172" t="s">
        <v>76</v>
      </c>
      <c r="E11" s="173" t="e">
        <f>'Base line Parameters'!E13</f>
        <v>#DIV/0!</v>
      </c>
      <c r="F11" s="174">
        <f>'Base line Parameters'!F13</f>
        <v>0</v>
      </c>
    </row>
    <row r="12" spans="1:6" ht="14.25" customHeight="1">
      <c r="A12" s="169" t="s">
        <v>130</v>
      </c>
      <c r="B12" s="170" t="s">
        <v>191</v>
      </c>
      <c r="C12" s="171" t="s">
        <v>110</v>
      </c>
      <c r="D12" s="172" t="s">
        <v>76</v>
      </c>
      <c r="E12" s="173" t="e">
        <f>'Base line Parameters'!E14</f>
        <v>#DIV/0!</v>
      </c>
      <c r="F12" s="174">
        <f>'Base line Parameters'!F14</f>
        <v>0</v>
      </c>
    </row>
    <row r="13" spans="1:6" s="175" customFormat="1" ht="14.25" customHeight="1">
      <c r="A13" s="169" t="s">
        <v>131</v>
      </c>
      <c r="B13" s="170" t="s">
        <v>174</v>
      </c>
      <c r="C13" s="171" t="s">
        <v>175</v>
      </c>
      <c r="D13" s="172" t="s">
        <v>3</v>
      </c>
      <c r="E13" s="173" t="e">
        <f>'Base line Parameters'!E15</f>
        <v>#DIV/0!</v>
      </c>
      <c r="F13" s="174">
        <f>'Base line Parameters'!F15</f>
        <v>0</v>
      </c>
    </row>
    <row r="14" spans="1:6" ht="14.25" customHeight="1">
      <c r="A14" s="169" t="s">
        <v>133</v>
      </c>
      <c r="B14" s="170" t="s">
        <v>174</v>
      </c>
      <c r="C14" s="171" t="s">
        <v>176</v>
      </c>
      <c r="D14" s="172" t="s">
        <v>3</v>
      </c>
      <c r="E14" s="173" t="e">
        <f>'Base line Parameters'!E16</f>
        <v>#DIV/0!</v>
      </c>
      <c r="F14" s="174">
        <f>'Base line Parameters'!F16</f>
        <v>0</v>
      </c>
    </row>
    <row r="15" spans="1:6" ht="14.25" customHeight="1">
      <c r="A15" s="169" t="s">
        <v>177</v>
      </c>
      <c r="B15" s="170" t="s">
        <v>127</v>
      </c>
      <c r="C15" s="171" t="s">
        <v>124</v>
      </c>
      <c r="D15" s="172" t="s">
        <v>266</v>
      </c>
      <c r="E15" s="173" t="e">
        <f>'Base line Parameters'!E17/10^5</f>
        <v>#DIV/0!</v>
      </c>
      <c r="F15" s="174">
        <f>'Base line Parameters'!F17/10^5</f>
        <v>0</v>
      </c>
    </row>
    <row r="16" spans="1:6" ht="15.75" customHeight="1">
      <c r="A16" s="176" t="s">
        <v>192</v>
      </c>
      <c r="B16" s="170" t="s">
        <v>129</v>
      </c>
      <c r="C16" s="171" t="s">
        <v>124</v>
      </c>
      <c r="D16" s="172" t="s">
        <v>266</v>
      </c>
      <c r="E16" s="173" t="e">
        <f>'Base line Parameters'!E18/10^5</f>
        <v>#DIV/0!</v>
      </c>
      <c r="F16" s="174">
        <f>'Base line Parameters'!F18/10^5</f>
        <v>0</v>
      </c>
    </row>
    <row r="17" spans="1:6" ht="14.25" customHeight="1">
      <c r="A17" s="176" t="s">
        <v>193</v>
      </c>
      <c r="B17" s="855" t="s">
        <v>1674</v>
      </c>
      <c r="C17" s="171" t="s">
        <v>124</v>
      </c>
      <c r="D17" s="172" t="s">
        <v>266</v>
      </c>
      <c r="E17" s="173" t="e">
        <f>'Base line Parameters'!E19/10^5</f>
        <v>#DIV/0!</v>
      </c>
      <c r="F17" s="174">
        <f>'Base line Parameters'!F19/10^5</f>
        <v>0</v>
      </c>
    </row>
    <row r="18" spans="1:6" ht="14.25" customHeight="1">
      <c r="A18" s="854" t="s">
        <v>194</v>
      </c>
      <c r="B18" s="855" t="s">
        <v>1661</v>
      </c>
      <c r="C18" s="171" t="s">
        <v>124</v>
      </c>
      <c r="D18" s="172" t="s">
        <v>266</v>
      </c>
      <c r="E18" s="173" t="e">
        <f>'Base line Parameters'!E20/10^5</f>
        <v>#DIV/0!</v>
      </c>
      <c r="F18" s="174">
        <f>'Base line Parameters'!F20/10^5</f>
        <v>0</v>
      </c>
    </row>
    <row r="19" spans="1:6" ht="14.25" customHeight="1">
      <c r="A19" s="854" t="s">
        <v>195</v>
      </c>
      <c r="B19" s="170" t="s">
        <v>132</v>
      </c>
      <c r="C19" s="171" t="s">
        <v>110</v>
      </c>
      <c r="D19" s="172" t="s">
        <v>266</v>
      </c>
      <c r="E19" s="173" t="e">
        <f>'Base line Parameters'!E21/10^5</f>
        <v>#DIV/0!</v>
      </c>
      <c r="F19" s="174">
        <f>'Base line Parameters'!F21/10^5</f>
        <v>0</v>
      </c>
    </row>
    <row r="20" spans="1:6" ht="14.25" customHeight="1">
      <c r="A20" s="854" t="s">
        <v>240</v>
      </c>
      <c r="B20" s="170" t="s">
        <v>134</v>
      </c>
      <c r="C20" s="171" t="s">
        <v>110</v>
      </c>
      <c r="D20" s="172" t="s">
        <v>266</v>
      </c>
      <c r="E20" s="173" t="e">
        <f>'Base line Parameters'!E22/10^5</f>
        <v>#DIV/0!</v>
      </c>
      <c r="F20" s="174">
        <f>'Base line Parameters'!F22/10^5</f>
        <v>0</v>
      </c>
    </row>
    <row r="21" spans="1:6" ht="14.25" customHeight="1">
      <c r="A21" s="854" t="s">
        <v>244</v>
      </c>
      <c r="B21" s="170" t="s">
        <v>241</v>
      </c>
      <c r="C21" s="171" t="s">
        <v>248</v>
      </c>
      <c r="D21" s="172" t="s">
        <v>266</v>
      </c>
      <c r="E21" s="177" t="e">
        <f>IF(C4="Grinding",0,(E10-E9)/10^5)</f>
        <v>#DIV/0!</v>
      </c>
      <c r="F21" s="177">
        <f>IF(C4="Grinding",0,(F10-F9)/10^5)</f>
        <v>0</v>
      </c>
    </row>
    <row r="22" spans="1:6" s="175" customFormat="1" ht="14.25" customHeight="1">
      <c r="A22" s="854" t="s">
        <v>245</v>
      </c>
      <c r="B22" s="170" t="s">
        <v>242</v>
      </c>
      <c r="C22" s="171" t="s">
        <v>246</v>
      </c>
      <c r="D22" s="172" t="s">
        <v>266</v>
      </c>
      <c r="E22" s="178" t="e">
        <f>IF(E21&gt;0,(E19+E21),(E19))</f>
        <v>#DIV/0!</v>
      </c>
      <c r="F22" s="174">
        <f>IF(F21&gt;0,(F19+F21),(F19))</f>
        <v>0</v>
      </c>
    </row>
    <row r="23" spans="1:6" ht="14.25" customHeight="1">
      <c r="A23" s="854" t="s">
        <v>1673</v>
      </c>
      <c r="B23" s="170" t="s">
        <v>243</v>
      </c>
      <c r="C23" s="171" t="s">
        <v>247</v>
      </c>
      <c r="D23" s="172" t="s">
        <v>266</v>
      </c>
      <c r="E23" s="178" t="e">
        <f>IF(E21&gt;0,(E20),(E20-E21))</f>
        <v>#DIV/0!</v>
      </c>
      <c r="F23" s="174">
        <f>IF(F21&gt;0,(F20),(F20-F21))</f>
        <v>0</v>
      </c>
    </row>
    <row r="24" spans="1:6" ht="14.25" customHeight="1">
      <c r="A24" s="388">
        <v>2</v>
      </c>
      <c r="B24" s="179" t="s">
        <v>135</v>
      </c>
      <c r="C24" s="180"/>
      <c r="D24" s="180"/>
      <c r="E24" s="180"/>
      <c r="F24" s="181"/>
    </row>
    <row r="25" spans="1:6" ht="15" customHeight="1">
      <c r="A25" s="169" t="s">
        <v>123</v>
      </c>
      <c r="B25" s="170" t="s">
        <v>1123</v>
      </c>
      <c r="C25" s="171" t="s">
        <v>225</v>
      </c>
      <c r="D25" s="172" t="s">
        <v>136</v>
      </c>
      <c r="E25" s="172">
        <f>'Base line Parameters'!E29</f>
        <v>0</v>
      </c>
      <c r="F25" s="182">
        <f>'Base line Parameters'!F29</f>
        <v>0</v>
      </c>
    </row>
    <row r="26" spans="1:6" ht="14.25" customHeight="1">
      <c r="A26" s="169" t="s">
        <v>125</v>
      </c>
      <c r="B26" s="170" t="s">
        <v>232</v>
      </c>
      <c r="C26" s="171" t="s">
        <v>226</v>
      </c>
      <c r="D26" s="172" t="s">
        <v>136</v>
      </c>
      <c r="E26" s="172">
        <f>'Base line Parameters'!E30</f>
        <v>0</v>
      </c>
      <c r="F26" s="182">
        <f>'Base line Parameters'!F30</f>
        <v>0</v>
      </c>
    </row>
    <row r="27" spans="1:6" ht="14.25" customHeight="1">
      <c r="A27" s="169" t="s">
        <v>137</v>
      </c>
      <c r="B27" s="855" t="s">
        <v>1675</v>
      </c>
      <c r="C27" s="171" t="s">
        <v>227</v>
      </c>
      <c r="D27" s="172" t="s">
        <v>136</v>
      </c>
      <c r="E27" s="172">
        <f>'Base line Parameters'!E31</f>
        <v>0</v>
      </c>
      <c r="F27" s="182">
        <f>'Base line Parameters'!F31</f>
        <v>0</v>
      </c>
    </row>
    <row r="28" spans="1:6" ht="31.5" customHeight="1">
      <c r="A28" s="816" t="s">
        <v>126</v>
      </c>
      <c r="B28" s="855" t="s">
        <v>1678</v>
      </c>
      <c r="C28" s="856" t="s">
        <v>1676</v>
      </c>
      <c r="D28" s="172" t="s">
        <v>136</v>
      </c>
      <c r="E28" s="172">
        <f>'Base line Parameters'!E32</f>
        <v>0</v>
      </c>
      <c r="F28" s="182">
        <f>'Base line Parameters'!F32</f>
        <v>0</v>
      </c>
    </row>
    <row r="29" spans="1:6" ht="28.5" customHeight="1">
      <c r="A29" s="388">
        <v>3</v>
      </c>
      <c r="B29" s="164" t="s">
        <v>138</v>
      </c>
      <c r="C29" s="180" t="s">
        <v>1241</v>
      </c>
      <c r="D29" s="183" t="s">
        <v>231</v>
      </c>
      <c r="E29" s="184">
        <f>'Base line Parameters'!E70</f>
        <v>0</v>
      </c>
      <c r="F29" s="185">
        <f>'Base line Parameters'!F70</f>
        <v>0</v>
      </c>
    </row>
    <row r="30" spans="1:6" ht="42.75" customHeight="1">
      <c r="A30" s="388">
        <v>4</v>
      </c>
      <c r="B30" s="164" t="s">
        <v>139</v>
      </c>
      <c r="C30" s="180" t="s">
        <v>267</v>
      </c>
      <c r="D30" s="183" t="s">
        <v>99</v>
      </c>
      <c r="E30" s="184" t="e">
        <f>'Base line Parameters'!E62</f>
        <v>#DIV/0!</v>
      </c>
      <c r="F30" s="185">
        <f>'Base line Parameters'!F62</f>
        <v>0</v>
      </c>
    </row>
    <row r="31" spans="1:6" ht="14.25" customHeight="1">
      <c r="A31" s="388">
        <v>5</v>
      </c>
      <c r="B31" s="164" t="s">
        <v>140</v>
      </c>
      <c r="C31" s="180"/>
      <c r="D31" s="183" t="s">
        <v>99</v>
      </c>
      <c r="E31" s="184" t="e">
        <f>'Base line Parameters'!E39</f>
        <v>#DIV/0!</v>
      </c>
      <c r="F31" s="185">
        <f>'Base line Parameters'!F39</f>
        <v>0</v>
      </c>
    </row>
    <row r="32" spans="1:6" ht="31.5" customHeight="1">
      <c r="A32" s="388">
        <v>6</v>
      </c>
      <c r="B32" s="164" t="s">
        <v>1540</v>
      </c>
      <c r="C32" s="180"/>
      <c r="D32" s="183" t="s">
        <v>99</v>
      </c>
      <c r="E32" s="184" t="e">
        <f>'Base line Parameters'!E60</f>
        <v>#DIV/0!</v>
      </c>
      <c r="F32" s="185">
        <f>'Base line Parameters'!F60</f>
        <v>0</v>
      </c>
    </row>
    <row r="33" spans="1:6" ht="42.75" customHeight="1">
      <c r="A33" s="388">
        <v>7</v>
      </c>
      <c r="B33" s="164" t="s">
        <v>141</v>
      </c>
      <c r="C33" s="864" t="s">
        <v>1694</v>
      </c>
      <c r="D33" s="183" t="s">
        <v>231</v>
      </c>
      <c r="E33" s="184" t="e">
        <f>E29+(E31*860/10)-(E32*'NF-5 Power Mix'!E33/10)</f>
        <v>#DIV/0!</v>
      </c>
      <c r="F33" s="185">
        <f>F29+(F31*860/10)-(F32*'NF-5 Power Mix'!F33/10)</f>
        <v>0</v>
      </c>
    </row>
    <row r="34" spans="1:6" ht="66" customHeight="1">
      <c r="A34" s="388">
        <v>8</v>
      </c>
      <c r="B34" s="179" t="s">
        <v>715</v>
      </c>
      <c r="C34" s="180"/>
      <c r="D34" s="183" t="s">
        <v>2</v>
      </c>
      <c r="E34" s="184" t="str">
        <f>E5</f>
        <v>Baseline Year (Average of year1 to Year 3)</v>
      </c>
      <c r="F34" s="185" t="str">
        <f>F5</f>
        <v>Current/Assessment /Target Year    (20__-20__)</v>
      </c>
    </row>
    <row r="35" spans="1:6" ht="14.25" customHeight="1">
      <c r="A35" s="169" t="s">
        <v>123</v>
      </c>
      <c r="B35" s="170" t="s">
        <v>142</v>
      </c>
      <c r="C35" s="171" t="s">
        <v>228</v>
      </c>
      <c r="D35" s="172" t="s">
        <v>266</v>
      </c>
      <c r="E35" s="173">
        <f>_xlfn.IFERROR(E15*E25/IF(AND($E$15&gt;$E$16,$E$15&gt;$E$17,$E$15&gt;$E$18),($E$25),(IF(AND($E$16&gt;$E$15,$E$16&gt;$E$17,$E$16&gt;$E$18),($E$26),(IF(AND($E$17&gt;$E$15,$E$17&gt;$E$16,$E$17&gt;$E$18),($E$27),($E$28)))))),0)</f>
        <v>0</v>
      </c>
      <c r="F35" s="173">
        <f>_xlfn.IFERROR((F15*F25/IF(AND($E$15&gt;$E$16,$E$15&gt;$E$17,$E$15&gt;$E$18),($E$25),(IF(AND($E$16&gt;$E$15,$E$16&gt;$E$17,$E$16&gt;$E$18),($E$26),(IF(AND($E$17&gt;$E$15,$E$17&gt;$E$16,$E$17&gt;$E$18),($E$27),($E$28))))))),0)</f>
        <v>0</v>
      </c>
    </row>
    <row r="36" spans="1:6" ht="14.25" customHeight="1">
      <c r="A36" s="169" t="s">
        <v>125</v>
      </c>
      <c r="B36" s="170" t="s">
        <v>143</v>
      </c>
      <c r="C36" s="171" t="s">
        <v>229</v>
      </c>
      <c r="D36" s="172" t="s">
        <v>266</v>
      </c>
      <c r="E36" s="173">
        <f>_xlfn.IFERROR(E16*E26/IF(AND($E$15&gt;$E$16,$E$15&gt;$E$17,$E$15&gt;$E$18),($E$25),(IF(AND($E$16&gt;$E$15,$E$16&gt;$E$17,$E$16&gt;$E$18),($E$26),(IF(AND($E$17&gt;$E$15,$E$17&gt;$E$16,$E$17&gt;$E$18),($E$27),($E$28)))))),0)</f>
        <v>0</v>
      </c>
      <c r="F36" s="173">
        <f>_xlfn.IFERROR((F16*F26/IF(AND($E$15&gt;$E$16,$E$15&gt;$E$17,$E$15&gt;$E$18),($E$25),(IF(AND($E$16&gt;$E$15,$E$16&gt;$E$17,$E$16&gt;$E$18),($E$26),(IF(AND($E$17&gt;$E$15,$E$17&gt;$E$16,$E$17&gt;$E$18),($E$27),($E$28))))))),0)</f>
        <v>0</v>
      </c>
    </row>
    <row r="37" spans="1:6" ht="14.25" customHeight="1">
      <c r="A37" s="169" t="s">
        <v>137</v>
      </c>
      <c r="B37" s="170" t="s">
        <v>144</v>
      </c>
      <c r="C37" s="171" t="s">
        <v>230</v>
      </c>
      <c r="D37" s="172" t="s">
        <v>266</v>
      </c>
      <c r="E37" s="173">
        <f>_xlfn.IFERROR(E17*E27/IF(AND($E$15&gt;$E$16,$E$15&gt;$E$17,$E$15&gt;$E$18),($E$25),(IF(AND($E$16&gt;$E$15,$E$16&gt;$E$17,$E$16&gt;$E$18),($E$26),(IF(AND($E$17&gt;$E$15,$E$17&gt;$E$16,$E$17&gt;$E$18),($E$27),($E$28)))))),0)</f>
        <v>0</v>
      </c>
      <c r="F37" s="173">
        <f>_xlfn.IFERROR((F17*F27/IF(AND($E$15&gt;$E$16,$E$15&gt;$E$17,$E$15&gt;$E$18),($E$25),(IF(AND($E$16&gt;$E$15,$E$16&gt;$E$17,$E$16&gt;$E$18),($E$26),(IF(AND($E$17&gt;$E$15,$E$17&gt;$E$16,$E$17&gt;$E$18),($E$27),($E$28))))))),0)</f>
        <v>0</v>
      </c>
    </row>
    <row r="38" spans="1:6" ht="14.25" customHeight="1">
      <c r="A38" s="816" t="s">
        <v>126</v>
      </c>
      <c r="B38" s="855" t="s">
        <v>1679</v>
      </c>
      <c r="C38" s="856" t="s">
        <v>1680</v>
      </c>
      <c r="D38" s="172" t="s">
        <v>266</v>
      </c>
      <c r="E38" s="173">
        <f>_xlfn.IFERROR((E18*E28/IF(AND($E$15&gt;$E$16,$E$15&gt;$E$17,$E$15&gt;$E$18),($E$25),(IF(AND($E$16&gt;$E$15,$E$16&gt;$E$17,$E$16&gt;$E$18),($E$26),(IF(AND($E$17&gt;$E$15,$E$17&gt;$E$16,$E$17&gt;$E$18),($E$27),($E$28))))))),0)</f>
        <v>0</v>
      </c>
      <c r="F38" s="173">
        <f>_xlfn.IFERROR((F18*F28/IF(AND($E$15&gt;$E$16,$E$15&gt;$E$17,$E$15&gt;$E$18),($E$25),(IF(AND($E$16&gt;$E$15,$E$16&gt;$E$17,$E$16&gt;$E$18),($E$26),(IF(AND($E$17&gt;$E$15,$E$17&gt;$E$16,$E$17&gt;$E$18),($E$27),($E$28))))))),0)</f>
        <v>0</v>
      </c>
    </row>
    <row r="39" spans="1:6" ht="14.25" customHeight="1">
      <c r="A39" s="816" t="s">
        <v>128</v>
      </c>
      <c r="B39" s="170" t="s">
        <v>249</v>
      </c>
      <c r="C39" s="171" t="s">
        <v>250</v>
      </c>
      <c r="D39" s="172" t="s">
        <v>266</v>
      </c>
      <c r="E39" s="173">
        <f>_xlfn.IFERROR(E22/IF(AND($E$15&gt;$E$16,$E$15&gt;$E$17,$E$15&gt;$E$18),($E$25),(IF(AND($E$16&gt;$E$15,$E$16&gt;$E$17,$E$16&gt;$E$18),($E$26),(IF(AND($E$17&gt;$E$15,$E$17&gt;$E$16,$E$17&gt;$E$18),($E$27),($E$28)))))),0)</f>
        <v>0</v>
      </c>
      <c r="F39" s="173">
        <f>_xlfn.IFERROR(F22/IF(AND($E$15&gt;$E$16,$E$15&gt;$E$17,$E$15&gt;$E$18),($E$25),(IF(AND($E$16&gt;$E$15,$E$16&gt;$E$17,$E$16&gt;$E$18),($E$26),(IF(AND($E$17&gt;$E$15,$E$17&gt;$E$16,$E$17&gt;$E$18),($E$27),($E$28)))))),0)</f>
        <v>0</v>
      </c>
    </row>
    <row r="40" spans="1:6" ht="14.25" customHeight="1">
      <c r="A40" s="857" t="s">
        <v>130</v>
      </c>
      <c r="B40" s="186" t="s">
        <v>251</v>
      </c>
      <c r="C40" s="171" t="s">
        <v>252</v>
      </c>
      <c r="D40" s="172" t="s">
        <v>266</v>
      </c>
      <c r="E40" s="173">
        <f>_xlfn.IFERROR(E23/IF(AND($E$15&gt;$E$16,$E$15&gt;$E$17,$E$15&gt;$E$18),($E$25),(IF(AND($E$16&gt;$E$15,$E$16&gt;$E$17,$E$16&gt;$E$18),($E$26),(IF(AND($E$17&gt;$E$15,$E$17&gt;$E$16,$E$17&gt;$E$18),($E$27),($E$28)))))),0)</f>
        <v>0</v>
      </c>
      <c r="F40" s="173">
        <f>_xlfn.IFERROR(F23/IF(AND($E$15&gt;$E$16,$E$15&gt;$E$17,$E$15&gt;$E$18),($E$25),(IF(AND($E$16&gt;$E$15,$E$16&gt;$E$17,$E$16&gt;$E$18),($E$26),(IF(AND($E$17&gt;$E$15,$E$17&gt;$E$16,$E$17&gt;$E$18),($E$27),($E$28)))))),0)</f>
        <v>0</v>
      </c>
    </row>
    <row r="41" spans="1:6" ht="15">
      <c r="A41" s="854" t="s">
        <v>131</v>
      </c>
      <c r="B41" s="187" t="s">
        <v>145</v>
      </c>
      <c r="C41" s="858" t="s">
        <v>1681</v>
      </c>
      <c r="D41" s="172" t="s">
        <v>266</v>
      </c>
      <c r="E41" s="189">
        <f>SUM(E35:E39)</f>
        <v>0</v>
      </c>
      <c r="F41" s="189">
        <f>SUM(F35:F39)</f>
        <v>0</v>
      </c>
    </row>
    <row r="42" spans="1:6" ht="63" customHeight="1">
      <c r="A42" s="388">
        <v>9</v>
      </c>
      <c r="B42" s="164" t="s">
        <v>146</v>
      </c>
      <c r="C42" s="180"/>
      <c r="D42" s="183" t="s">
        <v>2</v>
      </c>
      <c r="E42" s="184" t="str">
        <f>E34</f>
        <v>Baseline Year (Average of year1 to Year 3)</v>
      </c>
      <c r="F42" s="185" t="str">
        <f>F34</f>
        <v>Current/Assessment /Target Year    (20__-20__)</v>
      </c>
    </row>
    <row r="43" spans="1:6" ht="14.25" customHeight="1">
      <c r="A43" s="176" t="s">
        <v>123</v>
      </c>
      <c r="B43" s="187" t="s">
        <v>147</v>
      </c>
      <c r="C43" s="188" t="s">
        <v>110</v>
      </c>
      <c r="D43" s="190" t="s">
        <v>268</v>
      </c>
      <c r="E43" s="191">
        <f>'Base line Parameters'!E34</f>
        <v>0</v>
      </c>
      <c r="F43" s="192">
        <f>'Base line Parameters'!F34</f>
        <v>0</v>
      </c>
    </row>
    <row r="44" spans="1:6" ht="28.5" customHeight="1">
      <c r="A44" s="169" t="s">
        <v>125</v>
      </c>
      <c r="B44" s="170" t="s">
        <v>708</v>
      </c>
      <c r="C44" s="188" t="s">
        <v>110</v>
      </c>
      <c r="D44" s="172" t="s">
        <v>149</v>
      </c>
      <c r="E44" s="193">
        <f>'Base line Parameters'!E35</f>
        <v>0</v>
      </c>
      <c r="F44" s="194">
        <f>'Base line Parameters'!F35</f>
        <v>0</v>
      </c>
    </row>
    <row r="45" spans="1:6" ht="28.5" customHeight="1">
      <c r="A45" s="169" t="s">
        <v>137</v>
      </c>
      <c r="B45" s="170" t="s">
        <v>150</v>
      </c>
      <c r="C45" s="188" t="s">
        <v>110</v>
      </c>
      <c r="D45" s="172" t="s">
        <v>151</v>
      </c>
      <c r="E45" s="193">
        <f>'Base line Parameters'!E36</f>
        <v>0</v>
      </c>
      <c r="F45" s="194">
        <f>'Base line Parameters'!F36</f>
        <v>0</v>
      </c>
    </row>
    <row r="46" spans="1:6" ht="56.25" customHeight="1">
      <c r="A46" s="388">
        <v>10</v>
      </c>
      <c r="B46" s="1049" t="s">
        <v>152</v>
      </c>
      <c r="C46" s="1050"/>
      <c r="D46" s="183" t="s">
        <v>2</v>
      </c>
      <c r="E46" s="184" t="str">
        <f>E42</f>
        <v>Baseline Year (Average of year1 to Year 3)</v>
      </c>
      <c r="F46" s="185" t="str">
        <f>F42</f>
        <v>Current/Assessment /Target Year    (20__-20__)</v>
      </c>
    </row>
    <row r="47" spans="1:6" s="73" customFormat="1" ht="42.75" customHeight="1">
      <c r="A47" s="176" t="s">
        <v>123</v>
      </c>
      <c r="B47" s="170" t="s">
        <v>153</v>
      </c>
      <c r="C47" s="171" t="s">
        <v>365</v>
      </c>
      <c r="D47" s="172" t="s">
        <v>60</v>
      </c>
      <c r="E47" s="173">
        <f>(E39*E45*'Base line Parameters'!E58/10)</f>
        <v>0</v>
      </c>
      <c r="F47" s="174">
        <f>(F39*F45*'Base line Parameters'!F58/10)</f>
        <v>0</v>
      </c>
    </row>
    <row r="48" spans="1:6" s="73" customFormat="1" ht="50.25" customHeight="1">
      <c r="A48" s="169" t="s">
        <v>125</v>
      </c>
      <c r="B48" s="170" t="s">
        <v>154</v>
      </c>
      <c r="C48" s="171" t="s">
        <v>366</v>
      </c>
      <c r="D48" s="172" t="s">
        <v>60</v>
      </c>
      <c r="E48" s="172" t="e">
        <f>(E23*(E43*1000+E44*'Base line Parameters'!E58)/10)</f>
        <v>#DIV/0!</v>
      </c>
      <c r="F48" s="174">
        <f>(F23*(F43*1000+F44*'Base line Parameters'!F58)/10)</f>
        <v>0</v>
      </c>
    </row>
    <row r="49" spans="1:6" s="73" customFormat="1" ht="28.5" customHeight="1">
      <c r="A49" s="169" t="s">
        <v>137</v>
      </c>
      <c r="B49" s="170" t="s">
        <v>173</v>
      </c>
      <c r="C49" s="195" t="s">
        <v>1124</v>
      </c>
      <c r="D49" s="172" t="s">
        <v>60</v>
      </c>
      <c r="E49" s="173" t="e">
        <f>E31*(3208-860)/10</f>
        <v>#DIV/0!</v>
      </c>
      <c r="F49" s="174">
        <f>F31*(3208-860)/10</f>
        <v>0</v>
      </c>
    </row>
    <row r="50" spans="1:6" s="73" customFormat="1" ht="25.5" customHeight="1">
      <c r="A50" s="169" t="s">
        <v>126</v>
      </c>
      <c r="B50" s="170" t="s">
        <v>155</v>
      </c>
      <c r="C50" s="171" t="s">
        <v>512</v>
      </c>
      <c r="D50" s="172" t="s">
        <v>60</v>
      </c>
      <c r="E50" s="173" t="e">
        <f>E33+E47+E48+E49</f>
        <v>#DIV/0!</v>
      </c>
      <c r="F50" s="174">
        <f>F33+F47+F48+F49</f>
        <v>0</v>
      </c>
    </row>
    <row r="51" spans="1:6" s="196" customFormat="1" ht="45">
      <c r="A51" s="662">
        <v>11</v>
      </c>
      <c r="B51" s="658" t="s">
        <v>156</v>
      </c>
      <c r="C51" s="659" t="s">
        <v>1581</v>
      </c>
      <c r="D51" s="662" t="str">
        <f>IF($C$4="Clinkerization","kcal/kg of equivalent Clinker","kcal/kg of equivalent Cement")</f>
        <v>kcal/kg of equivalent Cement</v>
      </c>
      <c r="E51" s="663">
        <f>_xlfn.IFERROR(IF(C4="Clinkerization",E50/(E7*100),E50/(E41*100)),0)</f>
        <v>0</v>
      </c>
      <c r="F51" s="663">
        <f>_xlfn.IFERROR(IF(C4="Clinkerization",F50/(F7*100),F50/(F41*100)),0)</f>
        <v>0</v>
      </c>
    </row>
    <row r="52" spans="1:256" s="196" customFormat="1" ht="45">
      <c r="A52" s="662">
        <v>11.1</v>
      </c>
      <c r="B52" s="658" t="s">
        <v>156</v>
      </c>
      <c r="C52" s="659" t="s">
        <v>1242</v>
      </c>
      <c r="D52" s="662" t="str">
        <f>IF($C$4="Clinkerization","toe/tonne of equivalent Clinker","toe/tonne of equivalent Cement")</f>
        <v>toe/tonne of equivalent Cement</v>
      </c>
      <c r="E52" s="767">
        <f>E51/10000</f>
        <v>0</v>
      </c>
      <c r="F52" s="767">
        <f aca="true" t="shared" si="0" ref="F52:BQ52">F51/10000</f>
        <v>0</v>
      </c>
      <c r="G52" s="660">
        <f t="shared" si="0"/>
        <v>0</v>
      </c>
      <c r="H52" s="657">
        <f t="shared" si="0"/>
        <v>0</v>
      </c>
      <c r="I52" s="657">
        <f t="shared" si="0"/>
        <v>0</v>
      </c>
      <c r="J52" s="657">
        <f t="shared" si="0"/>
        <v>0</v>
      </c>
      <c r="K52" s="657">
        <f t="shared" si="0"/>
        <v>0</v>
      </c>
      <c r="L52" s="657">
        <f t="shared" si="0"/>
        <v>0</v>
      </c>
      <c r="M52" s="657">
        <f t="shared" si="0"/>
        <v>0</v>
      </c>
      <c r="N52" s="657">
        <f t="shared" si="0"/>
        <v>0</v>
      </c>
      <c r="O52" s="657">
        <f t="shared" si="0"/>
        <v>0</v>
      </c>
      <c r="P52" s="657">
        <f t="shared" si="0"/>
        <v>0</v>
      </c>
      <c r="Q52" s="657">
        <f t="shared" si="0"/>
        <v>0</v>
      </c>
      <c r="R52" s="657">
        <f t="shared" si="0"/>
        <v>0</v>
      </c>
      <c r="S52" s="657">
        <f t="shared" si="0"/>
        <v>0</v>
      </c>
      <c r="T52" s="657">
        <f t="shared" si="0"/>
        <v>0</v>
      </c>
      <c r="U52" s="657">
        <f t="shared" si="0"/>
        <v>0</v>
      </c>
      <c r="V52" s="657">
        <f t="shared" si="0"/>
        <v>0</v>
      </c>
      <c r="W52" s="657">
        <f t="shared" si="0"/>
        <v>0</v>
      </c>
      <c r="X52" s="657">
        <f t="shared" si="0"/>
        <v>0</v>
      </c>
      <c r="Y52" s="657">
        <f t="shared" si="0"/>
        <v>0</v>
      </c>
      <c r="Z52" s="657">
        <f t="shared" si="0"/>
        <v>0</v>
      </c>
      <c r="AA52" s="657">
        <f t="shared" si="0"/>
        <v>0</v>
      </c>
      <c r="AB52" s="657">
        <f t="shared" si="0"/>
        <v>0</v>
      </c>
      <c r="AC52" s="657">
        <f t="shared" si="0"/>
        <v>0</v>
      </c>
      <c r="AD52" s="657">
        <f t="shared" si="0"/>
        <v>0</v>
      </c>
      <c r="AE52" s="657">
        <f t="shared" si="0"/>
        <v>0</v>
      </c>
      <c r="AF52" s="657">
        <f t="shared" si="0"/>
        <v>0</v>
      </c>
      <c r="AG52" s="657">
        <f t="shared" si="0"/>
        <v>0</v>
      </c>
      <c r="AH52" s="657">
        <f t="shared" si="0"/>
        <v>0</v>
      </c>
      <c r="AI52" s="657">
        <f t="shared" si="0"/>
        <v>0</v>
      </c>
      <c r="AJ52" s="657">
        <f t="shared" si="0"/>
        <v>0</v>
      </c>
      <c r="AK52" s="657">
        <f t="shared" si="0"/>
        <v>0</v>
      </c>
      <c r="AL52" s="657">
        <f t="shared" si="0"/>
        <v>0</v>
      </c>
      <c r="AM52" s="657">
        <f t="shared" si="0"/>
        <v>0</v>
      </c>
      <c r="AN52" s="657">
        <f t="shared" si="0"/>
        <v>0</v>
      </c>
      <c r="AO52" s="657">
        <f t="shared" si="0"/>
        <v>0</v>
      </c>
      <c r="AP52" s="657">
        <f t="shared" si="0"/>
        <v>0</v>
      </c>
      <c r="AQ52" s="657">
        <f t="shared" si="0"/>
        <v>0</v>
      </c>
      <c r="AR52" s="657">
        <f t="shared" si="0"/>
        <v>0</v>
      </c>
      <c r="AS52" s="657">
        <f t="shared" si="0"/>
        <v>0</v>
      </c>
      <c r="AT52" s="657">
        <f t="shared" si="0"/>
        <v>0</v>
      </c>
      <c r="AU52" s="657">
        <f t="shared" si="0"/>
        <v>0</v>
      </c>
      <c r="AV52" s="657">
        <f t="shared" si="0"/>
        <v>0</v>
      </c>
      <c r="AW52" s="657">
        <f t="shared" si="0"/>
        <v>0</v>
      </c>
      <c r="AX52" s="657">
        <f t="shared" si="0"/>
        <v>0</v>
      </c>
      <c r="AY52" s="657">
        <f t="shared" si="0"/>
        <v>0</v>
      </c>
      <c r="AZ52" s="657">
        <f t="shared" si="0"/>
        <v>0</v>
      </c>
      <c r="BA52" s="657">
        <f t="shared" si="0"/>
        <v>0</v>
      </c>
      <c r="BB52" s="657">
        <f t="shared" si="0"/>
        <v>0</v>
      </c>
      <c r="BC52" s="657">
        <f t="shared" si="0"/>
        <v>0</v>
      </c>
      <c r="BD52" s="657">
        <f t="shared" si="0"/>
        <v>0</v>
      </c>
      <c r="BE52" s="657">
        <f t="shared" si="0"/>
        <v>0</v>
      </c>
      <c r="BF52" s="657">
        <f t="shared" si="0"/>
        <v>0</v>
      </c>
      <c r="BG52" s="657">
        <f t="shared" si="0"/>
        <v>0</v>
      </c>
      <c r="BH52" s="657">
        <f t="shared" si="0"/>
        <v>0</v>
      </c>
      <c r="BI52" s="657">
        <f t="shared" si="0"/>
        <v>0</v>
      </c>
      <c r="BJ52" s="657">
        <f t="shared" si="0"/>
        <v>0</v>
      </c>
      <c r="BK52" s="657">
        <f t="shared" si="0"/>
        <v>0</v>
      </c>
      <c r="BL52" s="657">
        <f t="shared" si="0"/>
        <v>0</v>
      </c>
      <c r="BM52" s="657">
        <f t="shared" si="0"/>
        <v>0</v>
      </c>
      <c r="BN52" s="657">
        <f t="shared" si="0"/>
        <v>0</v>
      </c>
      <c r="BO52" s="657">
        <f t="shared" si="0"/>
        <v>0</v>
      </c>
      <c r="BP52" s="657">
        <f t="shared" si="0"/>
        <v>0</v>
      </c>
      <c r="BQ52" s="657">
        <f t="shared" si="0"/>
        <v>0</v>
      </c>
      <c r="BR52" s="657">
        <f aca="true" t="shared" si="1" ref="BR52:EC52">BR51/10000</f>
        <v>0</v>
      </c>
      <c r="BS52" s="657">
        <f t="shared" si="1"/>
        <v>0</v>
      </c>
      <c r="BT52" s="657">
        <f t="shared" si="1"/>
        <v>0</v>
      </c>
      <c r="BU52" s="657">
        <f t="shared" si="1"/>
        <v>0</v>
      </c>
      <c r="BV52" s="657">
        <f t="shared" si="1"/>
        <v>0</v>
      </c>
      <c r="BW52" s="657">
        <f t="shared" si="1"/>
        <v>0</v>
      </c>
      <c r="BX52" s="657">
        <f t="shared" si="1"/>
        <v>0</v>
      </c>
      <c r="BY52" s="657">
        <f t="shared" si="1"/>
        <v>0</v>
      </c>
      <c r="BZ52" s="657">
        <f t="shared" si="1"/>
        <v>0</v>
      </c>
      <c r="CA52" s="657">
        <f t="shared" si="1"/>
        <v>0</v>
      </c>
      <c r="CB52" s="657">
        <f t="shared" si="1"/>
        <v>0</v>
      </c>
      <c r="CC52" s="657">
        <f t="shared" si="1"/>
        <v>0</v>
      </c>
      <c r="CD52" s="657">
        <f t="shared" si="1"/>
        <v>0</v>
      </c>
      <c r="CE52" s="657">
        <f t="shared" si="1"/>
        <v>0</v>
      </c>
      <c r="CF52" s="657">
        <f t="shared" si="1"/>
        <v>0</v>
      </c>
      <c r="CG52" s="657">
        <f t="shared" si="1"/>
        <v>0</v>
      </c>
      <c r="CH52" s="657">
        <f t="shared" si="1"/>
        <v>0</v>
      </c>
      <c r="CI52" s="657">
        <f t="shared" si="1"/>
        <v>0</v>
      </c>
      <c r="CJ52" s="657">
        <f t="shared" si="1"/>
        <v>0</v>
      </c>
      <c r="CK52" s="657">
        <f t="shared" si="1"/>
        <v>0</v>
      </c>
      <c r="CL52" s="657">
        <f t="shared" si="1"/>
        <v>0</v>
      </c>
      <c r="CM52" s="657">
        <f t="shared" si="1"/>
        <v>0</v>
      </c>
      <c r="CN52" s="657">
        <f t="shared" si="1"/>
        <v>0</v>
      </c>
      <c r="CO52" s="657">
        <f t="shared" si="1"/>
        <v>0</v>
      </c>
      <c r="CP52" s="657">
        <f t="shared" si="1"/>
        <v>0</v>
      </c>
      <c r="CQ52" s="657">
        <f t="shared" si="1"/>
        <v>0</v>
      </c>
      <c r="CR52" s="657">
        <f t="shared" si="1"/>
        <v>0</v>
      </c>
      <c r="CS52" s="657">
        <f t="shared" si="1"/>
        <v>0</v>
      </c>
      <c r="CT52" s="657">
        <f t="shared" si="1"/>
        <v>0</v>
      </c>
      <c r="CU52" s="657">
        <f t="shared" si="1"/>
        <v>0</v>
      </c>
      <c r="CV52" s="657">
        <f t="shared" si="1"/>
        <v>0</v>
      </c>
      <c r="CW52" s="657">
        <f t="shared" si="1"/>
        <v>0</v>
      </c>
      <c r="CX52" s="657">
        <f t="shared" si="1"/>
        <v>0</v>
      </c>
      <c r="CY52" s="657">
        <f t="shared" si="1"/>
        <v>0</v>
      </c>
      <c r="CZ52" s="657">
        <f t="shared" si="1"/>
        <v>0</v>
      </c>
      <c r="DA52" s="657">
        <f t="shared" si="1"/>
        <v>0</v>
      </c>
      <c r="DB52" s="657">
        <f t="shared" si="1"/>
        <v>0</v>
      </c>
      <c r="DC52" s="657">
        <f t="shared" si="1"/>
        <v>0</v>
      </c>
      <c r="DD52" s="657">
        <f t="shared" si="1"/>
        <v>0</v>
      </c>
      <c r="DE52" s="657">
        <f t="shared" si="1"/>
        <v>0</v>
      </c>
      <c r="DF52" s="657">
        <f t="shared" si="1"/>
        <v>0</v>
      </c>
      <c r="DG52" s="657">
        <f t="shared" si="1"/>
        <v>0</v>
      </c>
      <c r="DH52" s="657">
        <f t="shared" si="1"/>
        <v>0</v>
      </c>
      <c r="DI52" s="657">
        <f t="shared" si="1"/>
        <v>0</v>
      </c>
      <c r="DJ52" s="657">
        <f t="shared" si="1"/>
        <v>0</v>
      </c>
      <c r="DK52" s="657">
        <f t="shared" si="1"/>
        <v>0</v>
      </c>
      <c r="DL52" s="657">
        <f t="shared" si="1"/>
        <v>0</v>
      </c>
      <c r="DM52" s="657">
        <f t="shared" si="1"/>
        <v>0</v>
      </c>
      <c r="DN52" s="657">
        <f t="shared" si="1"/>
        <v>0</v>
      </c>
      <c r="DO52" s="657">
        <f t="shared" si="1"/>
        <v>0</v>
      </c>
      <c r="DP52" s="657">
        <f t="shared" si="1"/>
        <v>0</v>
      </c>
      <c r="DQ52" s="657">
        <f t="shared" si="1"/>
        <v>0</v>
      </c>
      <c r="DR52" s="657">
        <f t="shared" si="1"/>
        <v>0</v>
      </c>
      <c r="DS52" s="657">
        <f t="shared" si="1"/>
        <v>0</v>
      </c>
      <c r="DT52" s="657">
        <f t="shared" si="1"/>
        <v>0</v>
      </c>
      <c r="DU52" s="657">
        <f t="shared" si="1"/>
        <v>0</v>
      </c>
      <c r="DV52" s="657">
        <f t="shared" si="1"/>
        <v>0</v>
      </c>
      <c r="DW52" s="657">
        <f t="shared" si="1"/>
        <v>0</v>
      </c>
      <c r="DX52" s="657">
        <f t="shared" si="1"/>
        <v>0</v>
      </c>
      <c r="DY52" s="657">
        <f t="shared" si="1"/>
        <v>0</v>
      </c>
      <c r="DZ52" s="657">
        <f t="shared" si="1"/>
        <v>0</v>
      </c>
      <c r="EA52" s="657">
        <f t="shared" si="1"/>
        <v>0</v>
      </c>
      <c r="EB52" s="657">
        <f t="shared" si="1"/>
        <v>0</v>
      </c>
      <c r="EC52" s="657">
        <f t="shared" si="1"/>
        <v>0</v>
      </c>
      <c r="ED52" s="657">
        <f aca="true" t="shared" si="2" ref="ED52:GO52">ED51/10000</f>
        <v>0</v>
      </c>
      <c r="EE52" s="657">
        <f t="shared" si="2"/>
        <v>0</v>
      </c>
      <c r="EF52" s="657">
        <f t="shared" si="2"/>
        <v>0</v>
      </c>
      <c r="EG52" s="657">
        <f t="shared" si="2"/>
        <v>0</v>
      </c>
      <c r="EH52" s="657">
        <f t="shared" si="2"/>
        <v>0</v>
      </c>
      <c r="EI52" s="657">
        <f t="shared" si="2"/>
        <v>0</v>
      </c>
      <c r="EJ52" s="657">
        <f t="shared" si="2"/>
        <v>0</v>
      </c>
      <c r="EK52" s="657">
        <f t="shared" si="2"/>
        <v>0</v>
      </c>
      <c r="EL52" s="657">
        <f t="shared" si="2"/>
        <v>0</v>
      </c>
      <c r="EM52" s="657">
        <f t="shared" si="2"/>
        <v>0</v>
      </c>
      <c r="EN52" s="657">
        <f t="shared" si="2"/>
        <v>0</v>
      </c>
      <c r="EO52" s="657">
        <f t="shared" si="2"/>
        <v>0</v>
      </c>
      <c r="EP52" s="657">
        <f t="shared" si="2"/>
        <v>0</v>
      </c>
      <c r="EQ52" s="657">
        <f t="shared" si="2"/>
        <v>0</v>
      </c>
      <c r="ER52" s="657">
        <f t="shared" si="2"/>
        <v>0</v>
      </c>
      <c r="ES52" s="657">
        <f t="shared" si="2"/>
        <v>0</v>
      </c>
      <c r="ET52" s="657">
        <f t="shared" si="2"/>
        <v>0</v>
      </c>
      <c r="EU52" s="657">
        <f t="shared" si="2"/>
        <v>0</v>
      </c>
      <c r="EV52" s="657">
        <f t="shared" si="2"/>
        <v>0</v>
      </c>
      <c r="EW52" s="657">
        <f t="shared" si="2"/>
        <v>0</v>
      </c>
      <c r="EX52" s="657">
        <f t="shared" si="2"/>
        <v>0</v>
      </c>
      <c r="EY52" s="657">
        <f t="shared" si="2"/>
        <v>0</v>
      </c>
      <c r="EZ52" s="657">
        <f t="shared" si="2"/>
        <v>0</v>
      </c>
      <c r="FA52" s="657">
        <f t="shared" si="2"/>
        <v>0</v>
      </c>
      <c r="FB52" s="657">
        <f t="shared" si="2"/>
        <v>0</v>
      </c>
      <c r="FC52" s="657">
        <f t="shared" si="2"/>
        <v>0</v>
      </c>
      <c r="FD52" s="657">
        <f t="shared" si="2"/>
        <v>0</v>
      </c>
      <c r="FE52" s="657">
        <f t="shared" si="2"/>
        <v>0</v>
      </c>
      <c r="FF52" s="657">
        <f t="shared" si="2"/>
        <v>0</v>
      </c>
      <c r="FG52" s="657">
        <f t="shared" si="2"/>
        <v>0</v>
      </c>
      <c r="FH52" s="657">
        <f t="shared" si="2"/>
        <v>0</v>
      </c>
      <c r="FI52" s="657">
        <f t="shared" si="2"/>
        <v>0</v>
      </c>
      <c r="FJ52" s="657">
        <f t="shared" si="2"/>
        <v>0</v>
      </c>
      <c r="FK52" s="657">
        <f t="shared" si="2"/>
        <v>0</v>
      </c>
      <c r="FL52" s="657">
        <f t="shared" si="2"/>
        <v>0</v>
      </c>
      <c r="FM52" s="657">
        <f t="shared" si="2"/>
        <v>0</v>
      </c>
      <c r="FN52" s="657">
        <f t="shared" si="2"/>
        <v>0</v>
      </c>
      <c r="FO52" s="657">
        <f t="shared" si="2"/>
        <v>0</v>
      </c>
      <c r="FP52" s="657">
        <f t="shared" si="2"/>
        <v>0</v>
      </c>
      <c r="FQ52" s="657">
        <f t="shared" si="2"/>
        <v>0</v>
      </c>
      <c r="FR52" s="657">
        <f t="shared" si="2"/>
        <v>0</v>
      </c>
      <c r="FS52" s="657">
        <f t="shared" si="2"/>
        <v>0</v>
      </c>
      <c r="FT52" s="657">
        <f t="shared" si="2"/>
        <v>0</v>
      </c>
      <c r="FU52" s="657">
        <f t="shared" si="2"/>
        <v>0</v>
      </c>
      <c r="FV52" s="657">
        <f t="shared" si="2"/>
        <v>0</v>
      </c>
      <c r="FW52" s="657">
        <f t="shared" si="2"/>
        <v>0</v>
      </c>
      <c r="FX52" s="657">
        <f t="shared" si="2"/>
        <v>0</v>
      </c>
      <c r="FY52" s="657">
        <f t="shared" si="2"/>
        <v>0</v>
      </c>
      <c r="FZ52" s="657">
        <f t="shared" si="2"/>
        <v>0</v>
      </c>
      <c r="GA52" s="657">
        <f t="shared" si="2"/>
        <v>0</v>
      </c>
      <c r="GB52" s="657">
        <f t="shared" si="2"/>
        <v>0</v>
      </c>
      <c r="GC52" s="657">
        <f t="shared" si="2"/>
        <v>0</v>
      </c>
      <c r="GD52" s="657">
        <f t="shared" si="2"/>
        <v>0</v>
      </c>
      <c r="GE52" s="657">
        <f t="shared" si="2"/>
        <v>0</v>
      </c>
      <c r="GF52" s="657">
        <f t="shared" si="2"/>
        <v>0</v>
      </c>
      <c r="GG52" s="657">
        <f t="shared" si="2"/>
        <v>0</v>
      </c>
      <c r="GH52" s="657">
        <f t="shared" si="2"/>
        <v>0</v>
      </c>
      <c r="GI52" s="657">
        <f t="shared" si="2"/>
        <v>0</v>
      </c>
      <c r="GJ52" s="657">
        <f t="shared" si="2"/>
        <v>0</v>
      </c>
      <c r="GK52" s="657">
        <f t="shared" si="2"/>
        <v>0</v>
      </c>
      <c r="GL52" s="657">
        <f t="shared" si="2"/>
        <v>0</v>
      </c>
      <c r="GM52" s="657">
        <f t="shared" si="2"/>
        <v>0</v>
      </c>
      <c r="GN52" s="657">
        <f t="shared" si="2"/>
        <v>0</v>
      </c>
      <c r="GO52" s="657">
        <f t="shared" si="2"/>
        <v>0</v>
      </c>
      <c r="GP52" s="657">
        <f aca="true" t="shared" si="3" ref="GP52:IV52">GP51/10000</f>
        <v>0</v>
      </c>
      <c r="GQ52" s="657">
        <f t="shared" si="3"/>
        <v>0</v>
      </c>
      <c r="GR52" s="657">
        <f t="shared" si="3"/>
        <v>0</v>
      </c>
      <c r="GS52" s="657">
        <f t="shared" si="3"/>
        <v>0</v>
      </c>
      <c r="GT52" s="657">
        <f t="shared" si="3"/>
        <v>0</v>
      </c>
      <c r="GU52" s="657">
        <f t="shared" si="3"/>
        <v>0</v>
      </c>
      <c r="GV52" s="657">
        <f t="shared" si="3"/>
        <v>0</v>
      </c>
      <c r="GW52" s="657">
        <f t="shared" si="3"/>
        <v>0</v>
      </c>
      <c r="GX52" s="657">
        <f t="shared" si="3"/>
        <v>0</v>
      </c>
      <c r="GY52" s="657">
        <f t="shared" si="3"/>
        <v>0</v>
      </c>
      <c r="GZ52" s="657">
        <f t="shared" si="3"/>
        <v>0</v>
      </c>
      <c r="HA52" s="657">
        <f t="shared" si="3"/>
        <v>0</v>
      </c>
      <c r="HB52" s="657">
        <f t="shared" si="3"/>
        <v>0</v>
      </c>
      <c r="HC52" s="657">
        <f t="shared" si="3"/>
        <v>0</v>
      </c>
      <c r="HD52" s="657">
        <f t="shared" si="3"/>
        <v>0</v>
      </c>
      <c r="HE52" s="657">
        <f t="shared" si="3"/>
        <v>0</v>
      </c>
      <c r="HF52" s="657">
        <f t="shared" si="3"/>
        <v>0</v>
      </c>
      <c r="HG52" s="657">
        <f t="shared" si="3"/>
        <v>0</v>
      </c>
      <c r="HH52" s="657">
        <f t="shared" si="3"/>
        <v>0</v>
      </c>
      <c r="HI52" s="657">
        <f t="shared" si="3"/>
        <v>0</v>
      </c>
      <c r="HJ52" s="657">
        <f t="shared" si="3"/>
        <v>0</v>
      </c>
      <c r="HK52" s="657">
        <f t="shared" si="3"/>
        <v>0</v>
      </c>
      <c r="HL52" s="657">
        <f t="shared" si="3"/>
        <v>0</v>
      </c>
      <c r="HM52" s="657">
        <f t="shared" si="3"/>
        <v>0</v>
      </c>
      <c r="HN52" s="657">
        <f t="shared" si="3"/>
        <v>0</v>
      </c>
      <c r="HO52" s="657">
        <f t="shared" si="3"/>
        <v>0</v>
      </c>
      <c r="HP52" s="657">
        <f t="shared" si="3"/>
        <v>0</v>
      </c>
      <c r="HQ52" s="657">
        <f t="shared" si="3"/>
        <v>0</v>
      </c>
      <c r="HR52" s="657">
        <f t="shared" si="3"/>
        <v>0</v>
      </c>
      <c r="HS52" s="657">
        <f t="shared" si="3"/>
        <v>0</v>
      </c>
      <c r="HT52" s="657">
        <f t="shared" si="3"/>
        <v>0</v>
      </c>
      <c r="HU52" s="657">
        <f t="shared" si="3"/>
        <v>0</v>
      </c>
      <c r="HV52" s="657">
        <f t="shared" si="3"/>
        <v>0</v>
      </c>
      <c r="HW52" s="657">
        <f t="shared" si="3"/>
        <v>0</v>
      </c>
      <c r="HX52" s="657">
        <f t="shared" si="3"/>
        <v>0</v>
      </c>
      <c r="HY52" s="657">
        <f t="shared" si="3"/>
        <v>0</v>
      </c>
      <c r="HZ52" s="657">
        <f t="shared" si="3"/>
        <v>0</v>
      </c>
      <c r="IA52" s="657">
        <f t="shared" si="3"/>
        <v>0</v>
      </c>
      <c r="IB52" s="657">
        <f t="shared" si="3"/>
        <v>0</v>
      </c>
      <c r="IC52" s="657">
        <f t="shared" si="3"/>
        <v>0</v>
      </c>
      <c r="ID52" s="657">
        <f t="shared" si="3"/>
        <v>0</v>
      </c>
      <c r="IE52" s="657">
        <f t="shared" si="3"/>
        <v>0</v>
      </c>
      <c r="IF52" s="657">
        <f t="shared" si="3"/>
        <v>0</v>
      </c>
      <c r="IG52" s="657">
        <f t="shared" si="3"/>
        <v>0</v>
      </c>
      <c r="IH52" s="657">
        <f t="shared" si="3"/>
        <v>0</v>
      </c>
      <c r="II52" s="657">
        <f t="shared" si="3"/>
        <v>0</v>
      </c>
      <c r="IJ52" s="657">
        <f t="shared" si="3"/>
        <v>0</v>
      </c>
      <c r="IK52" s="657">
        <f t="shared" si="3"/>
        <v>0</v>
      </c>
      <c r="IL52" s="657">
        <f t="shared" si="3"/>
        <v>0</v>
      </c>
      <c r="IM52" s="657">
        <f t="shared" si="3"/>
        <v>0</v>
      </c>
      <c r="IN52" s="657">
        <f t="shared" si="3"/>
        <v>0</v>
      </c>
      <c r="IO52" s="657">
        <f t="shared" si="3"/>
        <v>0</v>
      </c>
      <c r="IP52" s="657">
        <f t="shared" si="3"/>
        <v>0</v>
      </c>
      <c r="IQ52" s="657">
        <f t="shared" si="3"/>
        <v>0</v>
      </c>
      <c r="IR52" s="657">
        <f t="shared" si="3"/>
        <v>0</v>
      </c>
      <c r="IS52" s="657">
        <f t="shared" si="3"/>
        <v>0</v>
      </c>
      <c r="IT52" s="657">
        <f t="shared" si="3"/>
        <v>0</v>
      </c>
      <c r="IU52" s="657">
        <f t="shared" si="3"/>
        <v>0</v>
      </c>
      <c r="IV52" s="657">
        <f t="shared" si="3"/>
        <v>0</v>
      </c>
    </row>
    <row r="53" spans="1:6" s="85" customFormat="1" ht="58.5" customHeight="1">
      <c r="A53" s="661">
        <v>12</v>
      </c>
      <c r="B53" s="1047" t="s">
        <v>510</v>
      </c>
      <c r="C53" s="1048"/>
      <c r="D53" s="166" t="s">
        <v>2</v>
      </c>
      <c r="E53" s="167" t="str">
        <f>E46</f>
        <v>Baseline Year (Average of year1 to Year 3)</v>
      </c>
      <c r="F53" s="168" t="str">
        <f>F46</f>
        <v>Current/Assessment /Target Year    (20__-20__)</v>
      </c>
    </row>
    <row r="54" spans="1:6" s="73" customFormat="1" ht="26.25" customHeight="1">
      <c r="A54" s="169" t="s">
        <v>123</v>
      </c>
      <c r="B54" s="61" t="s">
        <v>495</v>
      </c>
      <c r="C54" s="195" t="s">
        <v>496</v>
      </c>
      <c r="D54" s="172" t="s">
        <v>60</v>
      </c>
      <c r="E54" s="173"/>
      <c r="F54" s="174">
        <f>'NF-1 CU'!E26</f>
        <v>0</v>
      </c>
    </row>
    <row r="55" spans="1:6" s="73" customFormat="1" ht="15">
      <c r="A55" s="169" t="s">
        <v>125</v>
      </c>
      <c r="B55" s="61" t="s">
        <v>497</v>
      </c>
      <c r="C55" s="195" t="s">
        <v>502</v>
      </c>
      <c r="D55" s="172" t="s">
        <v>60</v>
      </c>
      <c r="E55" s="173"/>
      <c r="F55" s="174">
        <f>'NF-2 Fuel Quality in CPP'!F14</f>
        <v>0</v>
      </c>
    </row>
    <row r="56" spans="1:6" s="73" customFormat="1" ht="15">
      <c r="A56" s="169" t="s">
        <v>137</v>
      </c>
      <c r="B56" s="61" t="s">
        <v>498</v>
      </c>
      <c r="C56" s="195" t="s">
        <v>503</v>
      </c>
      <c r="D56" s="172" t="s">
        <v>60</v>
      </c>
      <c r="E56" s="173"/>
      <c r="F56" s="174" t="e">
        <f>'NF-3 Petcoke'!F14</f>
        <v>#DIV/0!</v>
      </c>
    </row>
    <row r="57" spans="1:6" s="73" customFormat="1" ht="15">
      <c r="A57" s="169" t="s">
        <v>126</v>
      </c>
      <c r="B57" s="61" t="s">
        <v>499</v>
      </c>
      <c r="C57" s="195" t="s">
        <v>504</v>
      </c>
      <c r="D57" s="172" t="s">
        <v>60</v>
      </c>
      <c r="E57" s="173"/>
      <c r="F57" s="174">
        <f>'NF-4 PLF'!F13</f>
        <v>0</v>
      </c>
    </row>
    <row r="58" spans="1:6" s="73" customFormat="1" ht="15">
      <c r="A58" s="169" t="s">
        <v>128</v>
      </c>
      <c r="B58" s="61" t="s">
        <v>500</v>
      </c>
      <c r="C58" s="195" t="s">
        <v>505</v>
      </c>
      <c r="D58" s="172" t="s">
        <v>60</v>
      </c>
      <c r="E58" s="173"/>
      <c r="F58" s="174">
        <f>'NF-5 Power Mix'!F47</f>
        <v>0</v>
      </c>
    </row>
    <row r="59" spans="1:6" s="73" customFormat="1" ht="15">
      <c r="A59" s="169" t="s">
        <v>130</v>
      </c>
      <c r="B59" s="61" t="s">
        <v>501</v>
      </c>
      <c r="C59" s="195" t="s">
        <v>506</v>
      </c>
      <c r="D59" s="172" t="s">
        <v>60</v>
      </c>
      <c r="E59" s="173"/>
      <c r="F59" s="174" t="e">
        <f>'NF-6 Product Mix'!F35</f>
        <v>#DIV/0!</v>
      </c>
    </row>
    <row r="60" spans="1:6" s="73" customFormat="1" ht="15">
      <c r="A60" s="169" t="s">
        <v>131</v>
      </c>
      <c r="B60" s="62" t="s">
        <v>779</v>
      </c>
      <c r="C60" s="195" t="s">
        <v>780</v>
      </c>
      <c r="D60" s="172" t="s">
        <v>60</v>
      </c>
      <c r="E60" s="173"/>
      <c r="F60" s="640">
        <f>'NF-7 Others'!F26-'NF-7 Others'!F25</f>
        <v>0</v>
      </c>
    </row>
    <row r="61" spans="1:6" s="73" customFormat="1" ht="15">
      <c r="A61" s="816" t="s">
        <v>133</v>
      </c>
      <c r="B61" s="814" t="s">
        <v>1646</v>
      </c>
      <c r="C61" s="815" t="s">
        <v>1647</v>
      </c>
      <c r="D61" s="172" t="s">
        <v>60</v>
      </c>
      <c r="E61" s="173"/>
      <c r="F61" s="640" t="e">
        <f>'NF-8 Bond Index'!E11</f>
        <v>#DIV/0!</v>
      </c>
    </row>
    <row r="62" spans="1:6" s="73" customFormat="1" ht="25.5" customHeight="1">
      <c r="A62" s="816" t="s">
        <v>177</v>
      </c>
      <c r="B62" s="170" t="s">
        <v>155</v>
      </c>
      <c r="C62" s="171" t="s">
        <v>891</v>
      </c>
      <c r="D62" s="172" t="s">
        <v>60</v>
      </c>
      <c r="E62" s="173" t="e">
        <f>E50</f>
        <v>#DIV/0!</v>
      </c>
      <c r="F62" s="174" t="e">
        <f>F50-F54-F55-F56-F57-F58-F59-F60-F61</f>
        <v>#DIV/0!</v>
      </c>
    </row>
    <row r="63" spans="1:6" s="197" customFormat="1" ht="45">
      <c r="A63" s="357">
        <v>13</v>
      </c>
      <c r="B63" s="358" t="s">
        <v>511</v>
      </c>
      <c r="C63" s="359" t="s">
        <v>1582</v>
      </c>
      <c r="D63" s="360" t="str">
        <f>IF($C$4="Clinkerization","kcal/kg of equivalent Clinker","kcal/kg of equivalent Cement")</f>
        <v>kcal/kg of equivalent Cement</v>
      </c>
      <c r="E63" s="360">
        <f>_xlfn.IFERROR(IF(C4="Clinkerization",E62/(E7*100),E62/(E41*100)),0)</f>
        <v>0</v>
      </c>
      <c r="F63" s="360">
        <f>_xlfn.IFERROR(IF(C4="Clinkerization",F62/(F7*100),F62/(F41*100)),0)</f>
        <v>0</v>
      </c>
    </row>
    <row r="64" spans="1:6" s="197" customFormat="1" ht="45">
      <c r="A64" s="357">
        <v>13.1</v>
      </c>
      <c r="B64" s="358" t="s">
        <v>511</v>
      </c>
      <c r="C64" s="359" t="s">
        <v>1243</v>
      </c>
      <c r="D64" s="360" t="str">
        <f>IF($C$4="Clinkerization","toe/tonne of equivalent Clinker","toe/tonne of equivalent Cement")</f>
        <v>toe/tonne of equivalent Cement</v>
      </c>
      <c r="E64" s="768">
        <f>E63/10000</f>
        <v>0</v>
      </c>
      <c r="F64" s="768">
        <f>F63/10000</f>
        <v>0</v>
      </c>
    </row>
    <row r="65" spans="1:6" s="363" customFormat="1" ht="30">
      <c r="A65" s="541">
        <v>14</v>
      </c>
      <c r="B65" s="354" t="s">
        <v>1164</v>
      </c>
      <c r="C65" s="355"/>
      <c r="D65" s="353" t="s">
        <v>231</v>
      </c>
      <c r="E65" s="356"/>
      <c r="F65" s="542">
        <f>'NF-7 Others'!F35</f>
        <v>0</v>
      </c>
    </row>
    <row r="66" spans="1:6" s="197" customFormat="1" ht="30">
      <c r="A66" s="543" t="s">
        <v>123</v>
      </c>
      <c r="B66" s="170" t="s">
        <v>1150</v>
      </c>
      <c r="C66" s="188"/>
      <c r="D66" s="190" t="s">
        <v>231</v>
      </c>
      <c r="E66" s="189"/>
      <c r="F66" s="544" t="e">
        <f>F62+F65</f>
        <v>#DIV/0!</v>
      </c>
    </row>
    <row r="67" spans="1:6" s="197" customFormat="1" ht="45">
      <c r="A67" s="545">
        <v>15</v>
      </c>
      <c r="B67" s="361" t="s">
        <v>1151</v>
      </c>
      <c r="C67" s="361"/>
      <c r="D67" s="362" t="str">
        <f>IF($C$4="Clinkerization","kcal/kg of equivalent Clinker","kcal/kg of equivalent Cement")</f>
        <v>kcal/kg of equivalent Cement</v>
      </c>
      <c r="E67" s="361"/>
      <c r="F67" s="546">
        <f>_xlfn.IFERROR(IF(C4="Clinkerization",F66/(F7*100),F66/(F41*100)),0)</f>
        <v>0</v>
      </c>
    </row>
    <row r="68" spans="1:6" s="197" customFormat="1" ht="45">
      <c r="A68" s="545">
        <v>16</v>
      </c>
      <c r="B68" s="361" t="s">
        <v>1151</v>
      </c>
      <c r="C68" s="361"/>
      <c r="D68" s="362" t="str">
        <f>IF($C$4="Clinkerization","toe/tonne of equivalent Clinker","toe/tonne of equivalent Cement")</f>
        <v>toe/tonne of equivalent Cement</v>
      </c>
      <c r="E68" s="361"/>
      <c r="F68" s="731">
        <f>(F67/10000)</f>
        <v>0</v>
      </c>
    </row>
    <row r="69" spans="1:6" ht="15">
      <c r="A69" s="198"/>
      <c r="B69" s="81"/>
      <c r="C69" s="81"/>
      <c r="D69" s="199"/>
      <c r="E69" s="81"/>
      <c r="F69" s="54"/>
    </row>
    <row r="70" spans="1:6" ht="14.25" customHeight="1">
      <c r="A70" s="1036" t="s">
        <v>1176</v>
      </c>
      <c r="B70" s="1037"/>
      <c r="C70" s="1037"/>
      <c r="D70" s="1037"/>
      <c r="E70" s="1037"/>
      <c r="F70" s="1038"/>
    </row>
    <row r="71" spans="1:7" ht="15">
      <c r="A71" s="1036"/>
      <c r="B71" s="1037"/>
      <c r="C71" s="1037"/>
      <c r="D71" s="1037"/>
      <c r="E71" s="1037"/>
      <c r="F71" s="1038"/>
      <c r="G71" s="81"/>
    </row>
    <row r="72" spans="1:6" ht="15">
      <c r="A72" s="1036"/>
      <c r="B72" s="1037"/>
      <c r="C72" s="1037"/>
      <c r="D72" s="1037"/>
      <c r="E72" s="1037"/>
      <c r="F72" s="1038"/>
    </row>
    <row r="73" spans="1:6" ht="15">
      <c r="A73" s="1036"/>
      <c r="B73" s="1037"/>
      <c r="C73" s="1037"/>
      <c r="D73" s="1037"/>
      <c r="E73" s="1037"/>
      <c r="F73" s="1038"/>
    </row>
    <row r="74" spans="1:6" ht="15">
      <c r="A74" s="1036"/>
      <c r="B74" s="1037"/>
      <c r="C74" s="1037"/>
      <c r="D74" s="1037"/>
      <c r="E74" s="1037"/>
      <c r="F74" s="1038"/>
    </row>
    <row r="75" spans="1:6" ht="15">
      <c r="A75" s="200"/>
      <c r="B75" s="201"/>
      <c r="C75" s="202"/>
      <c r="D75" s="203"/>
      <c r="E75" s="202"/>
      <c r="F75" s="204"/>
    </row>
    <row r="76" spans="1:6" ht="15">
      <c r="A76" s="200"/>
      <c r="B76" s="201"/>
      <c r="C76" s="202"/>
      <c r="D76" s="201" t="s">
        <v>196</v>
      </c>
      <c r="E76" s="201"/>
      <c r="F76" s="205"/>
    </row>
    <row r="77" spans="1:6" ht="15">
      <c r="A77" s="200"/>
      <c r="B77" s="206" t="s">
        <v>197</v>
      </c>
      <c r="C77" s="202"/>
      <c r="D77" s="203"/>
      <c r="E77" s="202"/>
      <c r="F77" s="204"/>
    </row>
    <row r="78" spans="1:6" ht="15">
      <c r="A78" s="200"/>
      <c r="B78" s="206"/>
      <c r="C78" s="202"/>
      <c r="D78" s="203"/>
      <c r="E78" s="202"/>
      <c r="F78" s="204"/>
    </row>
    <row r="79" spans="1:6" ht="15">
      <c r="A79" s="200"/>
      <c r="B79" s="574" t="s">
        <v>198</v>
      </c>
      <c r="C79" s="202"/>
      <c r="D79" s="203"/>
      <c r="E79" s="202"/>
      <c r="F79" s="204"/>
    </row>
    <row r="80" spans="1:6" ht="15.75" thickBot="1">
      <c r="A80" s="207"/>
      <c r="B80" s="208"/>
      <c r="C80" s="208"/>
      <c r="D80" s="209"/>
      <c r="E80" s="208"/>
      <c r="F80" s="210"/>
    </row>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spans="1:6" ht="14.25" customHeight="1" hidden="1">
      <c r="A97" s="199"/>
      <c r="B97" s="81"/>
      <c r="C97" s="81"/>
      <c r="D97" s="199"/>
      <c r="E97" s="81"/>
      <c r="F97" s="81"/>
    </row>
    <row r="98" ht="14.25" customHeight="1" hidden="1"/>
    <row r="99" ht="14.25" customHeight="1" hidden="1"/>
    <row r="100" ht="14.25" customHeight="1" hidden="1"/>
    <row r="101" spans="1:4" ht="14.25" customHeight="1" hidden="1">
      <c r="A101" s="34"/>
      <c r="D101" s="34"/>
    </row>
    <row r="102" spans="1:4" ht="14.25" customHeight="1" hidden="1">
      <c r="A102" s="34"/>
      <c r="D102" s="34"/>
    </row>
    <row r="103" spans="1:4" ht="14.25" customHeight="1" hidden="1">
      <c r="A103" s="34"/>
      <c r="D103" s="34"/>
    </row>
    <row r="104" spans="1:4" ht="14.25" customHeight="1" hidden="1">
      <c r="A104" s="34"/>
      <c r="D104" s="34"/>
    </row>
    <row r="105" spans="1:4" ht="14.25" customHeight="1" hidden="1">
      <c r="A105" s="34"/>
      <c r="D105" s="34"/>
    </row>
    <row r="106" spans="1:4" ht="14.25" customHeight="1" hidden="1">
      <c r="A106" s="34"/>
      <c r="D106" s="34"/>
    </row>
    <row r="107" spans="1:4" ht="14.25" customHeight="1" hidden="1">
      <c r="A107" s="34"/>
      <c r="D107" s="34"/>
    </row>
    <row r="108" spans="1:4" ht="14.25" customHeight="1" hidden="1">
      <c r="A108" s="34"/>
      <c r="D108" s="34"/>
    </row>
    <row r="109" spans="1:4" ht="14.25" customHeight="1" hidden="1">
      <c r="A109" s="34"/>
      <c r="D109" s="34"/>
    </row>
    <row r="110" spans="1:4" ht="14.25" customHeight="1" hidden="1">
      <c r="A110" s="34"/>
      <c r="D110" s="34"/>
    </row>
    <row r="111" spans="1:4" ht="14.25" customHeight="1" hidden="1">
      <c r="A111" s="34"/>
      <c r="D111" s="34"/>
    </row>
    <row r="112" spans="1:4" ht="14.25" customHeight="1" hidden="1">
      <c r="A112" s="34"/>
      <c r="D112" s="34"/>
    </row>
    <row r="113" spans="1:4" ht="14.25" customHeight="1" hidden="1">
      <c r="A113" s="34"/>
      <c r="D113" s="34"/>
    </row>
    <row r="114" spans="1:4" ht="14.25" customHeight="1" hidden="1">
      <c r="A114" s="34"/>
      <c r="D114" s="34"/>
    </row>
    <row r="115" spans="1:4" ht="14.25" customHeight="1" hidden="1">
      <c r="A115" s="34"/>
      <c r="D115" s="34"/>
    </row>
    <row r="116" spans="1:4" ht="14.25" customHeight="1" hidden="1">
      <c r="A116" s="34"/>
      <c r="D116" s="34"/>
    </row>
    <row r="117" spans="1:4" ht="14.25" customHeight="1" hidden="1">
      <c r="A117" s="34"/>
      <c r="D117" s="34"/>
    </row>
    <row r="118" spans="1:4" ht="14.25" customHeight="1" hidden="1">
      <c r="A118" s="34"/>
      <c r="D118" s="34"/>
    </row>
    <row r="119" spans="1:4" ht="14.25" customHeight="1" hidden="1">
      <c r="A119" s="34"/>
      <c r="D119" s="34"/>
    </row>
    <row r="120" spans="1:4" ht="14.25" customHeight="1" hidden="1">
      <c r="A120" s="34"/>
      <c r="D120" s="34"/>
    </row>
    <row r="121" spans="1:4" ht="14.25" customHeight="1" hidden="1">
      <c r="A121" s="34"/>
      <c r="D121" s="34"/>
    </row>
    <row r="122" spans="1:4" ht="14.25" customHeight="1" hidden="1">
      <c r="A122" s="34"/>
      <c r="D122" s="34"/>
    </row>
    <row r="123" spans="1:4" ht="14.25" customHeight="1" hidden="1">
      <c r="A123" s="34"/>
      <c r="D123" s="34"/>
    </row>
    <row r="124" spans="1:4" ht="14.25" customHeight="1" hidden="1">
      <c r="A124" s="34"/>
      <c r="D124" s="34"/>
    </row>
    <row r="125" spans="1:4" ht="14.25" customHeight="1" hidden="1">
      <c r="A125" s="34"/>
      <c r="D125" s="34"/>
    </row>
    <row r="126" spans="1:4" ht="14.25" customHeight="1" hidden="1">
      <c r="A126" s="34"/>
      <c r="D126" s="34"/>
    </row>
    <row r="127" spans="1:4" ht="14.25" customHeight="1" hidden="1">
      <c r="A127" s="34"/>
      <c r="D127" s="34"/>
    </row>
    <row r="128" spans="1:4" ht="14.25" customHeight="1" hidden="1">
      <c r="A128" s="34"/>
      <c r="D128" s="34"/>
    </row>
    <row r="129" spans="1:4" ht="14.25" customHeight="1" hidden="1">
      <c r="A129" s="34"/>
      <c r="D129" s="34"/>
    </row>
    <row r="130" spans="1:4" ht="15">
      <c r="A130" s="34"/>
      <c r="D130" s="34"/>
    </row>
    <row r="131" spans="1:4" ht="15">
      <c r="A131" s="34"/>
      <c r="D131" s="34"/>
    </row>
    <row r="132" spans="1:4" ht="15">
      <c r="A132" s="34"/>
      <c r="D132" s="34"/>
    </row>
    <row r="133" spans="1:4" ht="15">
      <c r="A133" s="34"/>
      <c r="D133" s="34"/>
    </row>
    <row r="134" spans="1:4" ht="15">
      <c r="A134" s="34"/>
      <c r="D134" s="34"/>
    </row>
    <row r="135" spans="1:4" ht="15">
      <c r="A135" s="34"/>
      <c r="D135" s="34"/>
    </row>
    <row r="136" spans="1:4" ht="15">
      <c r="A136" s="34"/>
      <c r="D136" s="34"/>
    </row>
    <row r="137" spans="1:4" ht="15">
      <c r="A137" s="34"/>
      <c r="D137" s="34"/>
    </row>
    <row r="138" ht="15"/>
    <row r="139" ht="15"/>
    <row r="140" ht="15"/>
    <row r="141" ht="15"/>
    <row r="142" ht="15"/>
    <row r="143" ht="15"/>
    <row r="144" ht="15"/>
    <row r="145" ht="15"/>
    <row r="146" ht="15"/>
    <row r="147" ht="15"/>
    <row r="148" ht="15"/>
  </sheetData>
  <sheetProtection password="E2BB" sheet="1"/>
  <mergeCells count="7">
    <mergeCell ref="A70:F74"/>
    <mergeCell ref="A2:F2"/>
    <mergeCell ref="A3:B3"/>
    <mergeCell ref="A1:F1"/>
    <mergeCell ref="B53:C53"/>
    <mergeCell ref="B46:C46"/>
    <mergeCell ref="A4:B4"/>
  </mergeCells>
  <printOptions/>
  <pageMargins left="0" right="0.11811023622047245" top="0.15748031496062992" bottom="0.5511811023622047" header="0.31496062992125984" footer="0.31496062992125984"/>
  <pageSetup horizontalDpi="600" verticalDpi="600" orientation="landscape" paperSize="9" scale="80" r:id="rId1"/>
  <headerFooter>
    <oddFooter>&amp;C&amp;P&amp;RNote: Not to be quoted and not to be published without prior permission</oddFooter>
  </headerFooter>
  <rowBreaks count="2" manualBreakCount="2">
    <brk id="40" max="5" man="1"/>
    <brk id="64" max="5" man="1"/>
  </rowBreaks>
</worksheet>
</file>

<file path=xl/worksheets/sheet7.xml><?xml version="1.0" encoding="utf-8"?>
<worksheet xmlns="http://schemas.openxmlformats.org/spreadsheetml/2006/main" xmlns:r="http://schemas.openxmlformats.org/officeDocument/2006/relationships">
  <dimension ref="A1:M29"/>
  <sheetViews>
    <sheetView zoomScale="86" zoomScaleNormal="86" zoomScalePageLayoutView="0" workbookViewId="0" topLeftCell="A1">
      <selection activeCell="G10" sqref="G10"/>
    </sheetView>
  </sheetViews>
  <sheetFormatPr defaultColWidth="0" defaultRowHeight="15"/>
  <cols>
    <col min="1" max="1" width="8.8515625" style="1" customWidth="1"/>
    <col min="2" max="2" width="29.8515625" style="0" customWidth="1"/>
    <col min="3" max="3" width="15.421875" style="0" customWidth="1"/>
    <col min="4" max="4" width="16.421875" style="0" customWidth="1"/>
    <col min="5" max="5" width="13.8515625" style="0" bestFit="1" customWidth="1"/>
    <col min="6" max="6" width="11.7109375" style="1" customWidth="1"/>
    <col min="7" max="7" width="11.8515625" style="1" customWidth="1"/>
    <col min="8" max="8" width="11.28125" style="1" customWidth="1"/>
    <col min="9" max="9" width="10.8515625" style="1" customWidth="1"/>
    <col min="10" max="10" width="15.28125" style="1" customWidth="1"/>
    <col min="11" max="11" width="14.7109375" style="1" customWidth="1"/>
    <col min="12" max="12" width="20.7109375" style="0" customWidth="1"/>
    <col min="13" max="13" width="16.57421875" style="0" customWidth="1"/>
    <col min="14" max="15" width="8.8515625" style="0" hidden="1" customWidth="1"/>
    <col min="16" max="16" width="12.00390625" style="0" hidden="1" customWidth="1"/>
    <col min="17" max="16384" width="8.8515625" style="0" hidden="1" customWidth="1"/>
  </cols>
  <sheetData>
    <row r="1" spans="1:13" ht="26.25">
      <c r="A1" s="1053" t="s">
        <v>1043</v>
      </c>
      <c r="B1" s="1054"/>
      <c r="C1" s="1054"/>
      <c r="D1" s="1054"/>
      <c r="E1" s="1054"/>
      <c r="F1" s="1054"/>
      <c r="G1" s="1054"/>
      <c r="H1" s="1054"/>
      <c r="I1" s="1054"/>
      <c r="J1" s="1054"/>
      <c r="K1" s="1054"/>
      <c r="L1" s="1054"/>
      <c r="M1" s="1054"/>
    </row>
    <row r="2" spans="1:13" ht="18" customHeight="1">
      <c r="A2" s="1009" t="str">
        <f>CONCATENATE('General Information'!B3,F3)</f>
        <v>Name of the Unit</v>
      </c>
      <c r="B2" s="1009"/>
      <c r="C2" s="1009"/>
      <c r="D2" s="1009"/>
      <c r="E2" s="1063" t="str">
        <f>'Form-Sb'!C3</f>
        <v>  </v>
      </c>
      <c r="F2" s="1063"/>
      <c r="G2" s="1063"/>
      <c r="H2" s="1063"/>
      <c r="I2" s="1063"/>
      <c r="J2" s="1063"/>
      <c r="K2" s="1063"/>
      <c r="L2" s="1063"/>
      <c r="M2" s="1064"/>
    </row>
    <row r="3" spans="1:13" s="5" customFormat="1" ht="30">
      <c r="A3" s="1060"/>
      <c r="B3" s="1060"/>
      <c r="C3" s="1060"/>
      <c r="D3" s="1060"/>
      <c r="E3" s="1060"/>
      <c r="F3" s="1060"/>
      <c r="G3" s="1060"/>
      <c r="H3" s="1060"/>
      <c r="I3" s="1061"/>
      <c r="J3" s="7" t="s">
        <v>1060</v>
      </c>
      <c r="K3" s="7" t="s">
        <v>1060</v>
      </c>
      <c r="L3" s="1062"/>
      <c r="M3" s="1061"/>
    </row>
    <row r="4" spans="1:13" s="9" customFormat="1" ht="45">
      <c r="A4" s="1055" t="s">
        <v>629</v>
      </c>
      <c r="B4" s="1055" t="s">
        <v>1029</v>
      </c>
      <c r="C4" s="267" t="s">
        <v>1166</v>
      </c>
      <c r="D4" s="1055" t="s">
        <v>1030</v>
      </c>
      <c r="E4" s="8" t="s">
        <v>1050</v>
      </c>
      <c r="F4" s="7" t="s">
        <v>1055</v>
      </c>
      <c r="G4" s="7" t="s">
        <v>1056</v>
      </c>
      <c r="H4" s="7" t="s">
        <v>1031</v>
      </c>
      <c r="I4" s="7" t="s">
        <v>284</v>
      </c>
      <c r="J4" s="7" t="s">
        <v>1044</v>
      </c>
      <c r="K4" s="7" t="s">
        <v>1045</v>
      </c>
      <c r="L4" s="8" t="s">
        <v>160</v>
      </c>
      <c r="M4" s="1055" t="s">
        <v>1183</v>
      </c>
    </row>
    <row r="5" spans="1:13" s="12" customFormat="1" ht="30">
      <c r="A5" s="1056"/>
      <c r="B5" s="1056"/>
      <c r="C5" s="268"/>
      <c r="D5" s="1056"/>
      <c r="E5" s="11" t="s">
        <v>766</v>
      </c>
      <c r="F5" s="10" t="s">
        <v>24</v>
      </c>
      <c r="G5" s="7" t="s">
        <v>1033</v>
      </c>
      <c r="H5" s="10" t="s">
        <v>24</v>
      </c>
      <c r="I5" s="7" t="s">
        <v>1032</v>
      </c>
      <c r="J5" s="7" t="s">
        <v>1034</v>
      </c>
      <c r="K5" s="7" t="s">
        <v>1035</v>
      </c>
      <c r="L5" s="11"/>
      <c r="M5" s="1056"/>
    </row>
    <row r="6" spans="1:13" ht="15">
      <c r="A6" s="535">
        <v>1</v>
      </c>
      <c r="B6" s="536"/>
      <c r="C6" s="536"/>
      <c r="D6" s="536"/>
      <c r="E6" s="536"/>
      <c r="F6" s="295"/>
      <c r="G6" s="295"/>
      <c r="H6" s="295"/>
      <c r="I6" s="295"/>
      <c r="J6" s="295"/>
      <c r="K6" s="295"/>
      <c r="L6" s="536"/>
      <c r="M6" s="536"/>
    </row>
    <row r="7" spans="1:13" ht="15">
      <c r="A7" s="535">
        <v>2</v>
      </c>
      <c r="B7" s="536"/>
      <c r="C7" s="536"/>
      <c r="D7" s="536"/>
      <c r="E7" s="536"/>
      <c r="F7" s="295"/>
      <c r="G7" s="295"/>
      <c r="H7" s="295"/>
      <c r="I7" s="295"/>
      <c r="J7" s="295"/>
      <c r="K7" s="295"/>
      <c r="L7" s="536"/>
      <c r="M7" s="536"/>
    </row>
    <row r="8" spans="1:13" ht="15">
      <c r="A8" s="535">
        <v>3</v>
      </c>
      <c r="B8" s="536"/>
      <c r="C8" s="536"/>
      <c r="D8" s="536"/>
      <c r="E8" s="536"/>
      <c r="F8" s="295"/>
      <c r="G8" s="295"/>
      <c r="H8" s="295"/>
      <c r="I8" s="295"/>
      <c r="J8" s="295"/>
      <c r="K8" s="295"/>
      <c r="L8" s="536"/>
      <c r="M8" s="536"/>
    </row>
    <row r="9" spans="1:13" ht="15">
      <c r="A9" s="535">
        <v>4</v>
      </c>
      <c r="B9" s="536"/>
      <c r="C9" s="536"/>
      <c r="D9" s="536"/>
      <c r="E9" s="536"/>
      <c r="F9" s="295"/>
      <c r="G9" s="295"/>
      <c r="H9" s="295"/>
      <c r="I9" s="295"/>
      <c r="J9" s="295"/>
      <c r="K9" s="295"/>
      <c r="L9" s="536"/>
      <c r="M9" s="536"/>
    </row>
    <row r="10" spans="1:13" ht="15">
      <c r="A10" s="535">
        <v>5</v>
      </c>
      <c r="B10" s="536"/>
      <c r="C10" s="536"/>
      <c r="D10" s="536"/>
      <c r="E10" s="536"/>
      <c r="F10" s="295"/>
      <c r="G10" s="295"/>
      <c r="H10" s="295"/>
      <c r="I10" s="295"/>
      <c r="J10" s="295"/>
      <c r="K10" s="295"/>
      <c r="L10" s="536"/>
      <c r="M10" s="536"/>
    </row>
    <row r="11" spans="1:13" ht="15">
      <c r="A11" s="535">
        <v>6</v>
      </c>
      <c r="B11" s="536"/>
      <c r="C11" s="536"/>
      <c r="D11" s="536"/>
      <c r="E11" s="536"/>
      <c r="F11" s="295"/>
      <c r="G11" s="295"/>
      <c r="H11" s="295"/>
      <c r="I11" s="295"/>
      <c r="J11" s="295"/>
      <c r="K11" s="295"/>
      <c r="L11" s="536"/>
      <c r="M11" s="536"/>
    </row>
    <row r="12" spans="1:13" ht="15">
      <c r="A12" s="535">
        <v>7</v>
      </c>
      <c r="B12" s="536"/>
      <c r="C12" s="536"/>
      <c r="D12" s="536"/>
      <c r="E12" s="536"/>
      <c r="F12" s="295"/>
      <c r="G12" s="295"/>
      <c r="H12" s="295"/>
      <c r="I12" s="295"/>
      <c r="J12" s="295"/>
      <c r="K12" s="295"/>
      <c r="L12" s="536"/>
      <c r="M12" s="536"/>
    </row>
    <row r="13" spans="1:13" ht="15">
      <c r="A13" s="535">
        <v>8</v>
      </c>
      <c r="B13" s="536"/>
      <c r="C13" s="536"/>
      <c r="D13" s="536"/>
      <c r="E13" s="536"/>
      <c r="F13" s="295"/>
      <c r="G13" s="295"/>
      <c r="H13" s="295"/>
      <c r="I13" s="295"/>
      <c r="J13" s="295"/>
      <c r="K13" s="295"/>
      <c r="L13" s="536"/>
      <c r="M13" s="536"/>
    </row>
    <row r="14" spans="1:13" ht="15">
      <c r="A14" s="535">
        <v>9</v>
      </c>
      <c r="B14" s="536"/>
      <c r="C14" s="536"/>
      <c r="D14" s="536"/>
      <c r="E14" s="536"/>
      <c r="F14" s="295"/>
      <c r="G14" s="295"/>
      <c r="H14" s="295"/>
      <c r="I14" s="295"/>
      <c r="J14" s="295"/>
      <c r="K14" s="295"/>
      <c r="L14" s="536"/>
      <c r="M14" s="536"/>
    </row>
    <row r="15" spans="1:13" ht="15">
      <c r="A15" s="535">
        <v>10</v>
      </c>
      <c r="B15" s="536"/>
      <c r="C15" s="536"/>
      <c r="D15" s="536"/>
      <c r="E15" s="536"/>
      <c r="F15" s="295"/>
      <c r="G15" s="295"/>
      <c r="H15" s="295"/>
      <c r="I15" s="295"/>
      <c r="J15" s="295"/>
      <c r="K15" s="295"/>
      <c r="L15" s="536"/>
      <c r="M15" s="536"/>
    </row>
    <row r="16" spans="1:13" ht="15">
      <c r="A16" s="535">
        <v>11</v>
      </c>
      <c r="B16" s="536"/>
      <c r="C16" s="536"/>
      <c r="D16" s="536"/>
      <c r="E16" s="536"/>
      <c r="F16" s="295"/>
      <c r="G16" s="295"/>
      <c r="H16" s="295"/>
      <c r="I16" s="295"/>
      <c r="J16" s="295"/>
      <c r="K16" s="295"/>
      <c r="L16" s="536"/>
      <c r="M16" s="536"/>
    </row>
    <row r="17" spans="1:13" ht="15">
      <c r="A17" s="535">
        <v>12</v>
      </c>
      <c r="B17" s="536"/>
      <c r="C17" s="536"/>
      <c r="D17" s="536"/>
      <c r="E17" s="536"/>
      <c r="F17" s="295"/>
      <c r="G17" s="295"/>
      <c r="H17" s="295"/>
      <c r="I17" s="295"/>
      <c r="J17" s="295"/>
      <c r="K17" s="295"/>
      <c r="L17" s="536"/>
      <c r="M17" s="536"/>
    </row>
    <row r="18" spans="1:13" ht="15">
      <c r="A18" s="535">
        <v>13</v>
      </c>
      <c r="B18" s="536"/>
      <c r="C18" s="536"/>
      <c r="D18" s="536"/>
      <c r="E18" s="536"/>
      <c r="F18" s="295"/>
      <c r="G18" s="295"/>
      <c r="H18" s="295"/>
      <c r="I18" s="295"/>
      <c r="J18" s="295"/>
      <c r="K18" s="295"/>
      <c r="L18" s="536"/>
      <c r="M18" s="536"/>
    </row>
    <row r="19" spans="1:13" ht="15">
      <c r="A19" s="535">
        <v>14</v>
      </c>
      <c r="B19" s="536"/>
      <c r="C19" s="536"/>
      <c r="D19" s="536"/>
      <c r="E19" s="536"/>
      <c r="F19" s="295"/>
      <c r="G19" s="295"/>
      <c r="H19" s="295"/>
      <c r="I19" s="295"/>
      <c r="J19" s="295"/>
      <c r="K19" s="295"/>
      <c r="L19" s="536"/>
      <c r="M19" s="536"/>
    </row>
    <row r="20" spans="1:13" ht="15">
      <c r="A20" s="535">
        <v>15</v>
      </c>
      <c r="B20" s="536"/>
      <c r="C20" s="536"/>
      <c r="D20" s="536"/>
      <c r="E20" s="536"/>
      <c r="F20" s="295"/>
      <c r="G20" s="295"/>
      <c r="H20" s="295"/>
      <c r="I20" s="295"/>
      <c r="J20" s="295"/>
      <c r="K20" s="295"/>
      <c r="L20" s="536"/>
      <c r="M20" s="536"/>
    </row>
    <row r="21" spans="1:13" ht="15">
      <c r="A21" s="535">
        <v>16</v>
      </c>
      <c r="B21" s="536"/>
      <c r="C21" s="536"/>
      <c r="D21" s="536"/>
      <c r="E21" s="536"/>
      <c r="F21" s="295"/>
      <c r="G21" s="295"/>
      <c r="H21" s="295"/>
      <c r="I21" s="295"/>
      <c r="J21" s="295"/>
      <c r="K21" s="295"/>
      <c r="L21" s="536"/>
      <c r="M21" s="536"/>
    </row>
    <row r="22" spans="1:13" ht="15">
      <c r="A22" s="535">
        <v>17</v>
      </c>
      <c r="B22" s="536"/>
      <c r="C22" s="536"/>
      <c r="D22" s="536"/>
      <c r="E22" s="536"/>
      <c r="F22" s="295"/>
      <c r="G22" s="295"/>
      <c r="H22" s="295"/>
      <c r="I22" s="295"/>
      <c r="J22" s="295"/>
      <c r="K22" s="295"/>
      <c r="L22" s="536"/>
      <c r="M22" s="536"/>
    </row>
    <row r="23" spans="1:13" ht="15">
      <c r="A23" s="535">
        <v>18</v>
      </c>
      <c r="B23" s="536"/>
      <c r="C23" s="536"/>
      <c r="D23" s="536"/>
      <c r="E23" s="536"/>
      <c r="F23" s="295"/>
      <c r="G23" s="295"/>
      <c r="H23" s="295"/>
      <c r="I23" s="295"/>
      <c r="J23" s="295"/>
      <c r="K23" s="295"/>
      <c r="L23" s="536"/>
      <c r="M23" s="536"/>
    </row>
    <row r="24" spans="1:13" ht="15">
      <c r="A24" s="535">
        <v>19</v>
      </c>
      <c r="B24" s="536"/>
      <c r="C24" s="536"/>
      <c r="D24" s="536"/>
      <c r="E24" s="536"/>
      <c r="F24" s="295"/>
      <c r="G24" s="295"/>
      <c r="H24" s="295"/>
      <c r="I24" s="295"/>
      <c r="J24" s="295"/>
      <c r="K24" s="295"/>
      <c r="L24" s="536"/>
      <c r="M24" s="536"/>
    </row>
    <row r="25" spans="1:13" ht="15">
      <c r="A25" s="535">
        <v>20</v>
      </c>
      <c r="B25" s="536"/>
      <c r="C25" s="536"/>
      <c r="D25" s="536"/>
      <c r="E25" s="536"/>
      <c r="F25" s="295"/>
      <c r="G25" s="295"/>
      <c r="H25" s="295"/>
      <c r="I25" s="295"/>
      <c r="J25" s="295"/>
      <c r="K25" s="295"/>
      <c r="L25" s="536"/>
      <c r="M25" s="536"/>
    </row>
    <row r="26" spans="1:13" ht="15">
      <c r="A26" s="535">
        <v>21</v>
      </c>
      <c r="B26" s="536"/>
      <c r="C26" s="536"/>
      <c r="D26" s="536"/>
      <c r="E26" s="536"/>
      <c r="F26" s="295"/>
      <c r="G26" s="295"/>
      <c r="H26" s="295"/>
      <c r="I26" s="295"/>
      <c r="J26" s="295"/>
      <c r="K26" s="295"/>
      <c r="L26" s="536"/>
      <c r="M26" s="536"/>
    </row>
    <row r="27" spans="1:13" ht="15">
      <c r="A27" s="1057" t="s">
        <v>1057</v>
      </c>
      <c r="B27" s="1058"/>
      <c r="C27" s="1058"/>
      <c r="D27" s="1058"/>
      <c r="E27" s="1059"/>
      <c r="F27" s="250">
        <f aca="true" t="shared" si="0" ref="F27:K27">SUM(F6:F26)</f>
        <v>0</v>
      </c>
      <c r="G27" s="250">
        <f t="shared" si="0"/>
        <v>0</v>
      </c>
      <c r="H27" s="250">
        <f t="shared" si="0"/>
        <v>0</v>
      </c>
      <c r="I27" s="250">
        <f t="shared" si="0"/>
        <v>0</v>
      </c>
      <c r="J27" s="250">
        <f t="shared" si="0"/>
        <v>0</v>
      </c>
      <c r="K27" s="250">
        <f t="shared" si="0"/>
        <v>0</v>
      </c>
      <c r="L27" s="249"/>
      <c r="M27" s="249"/>
    </row>
    <row r="28" spans="1:2" ht="15">
      <c r="A28" s="1" t="s">
        <v>1046</v>
      </c>
      <c r="B28" t="s">
        <v>1049</v>
      </c>
    </row>
    <row r="29" spans="1:2" ht="15">
      <c r="A29" s="1" t="s">
        <v>1047</v>
      </c>
      <c r="B29" t="s">
        <v>1048</v>
      </c>
    </row>
  </sheetData>
  <sheetProtection password="E2BB" sheet="1" formatCells="0" formatColumns="0" formatRows="0" insertRows="0"/>
  <mergeCells count="10">
    <mergeCell ref="A1:M1"/>
    <mergeCell ref="A4:A5"/>
    <mergeCell ref="B4:B5"/>
    <mergeCell ref="D4:D5"/>
    <mergeCell ref="A27:E27"/>
    <mergeCell ref="A3:I3"/>
    <mergeCell ref="L3:M3"/>
    <mergeCell ref="A2:D2"/>
    <mergeCell ref="E2:M2"/>
    <mergeCell ref="M4:M5"/>
  </mergeCells>
  <dataValidations count="1">
    <dataValidation type="decimal" operator="greaterThan" showErrorMessage="1" promptTitle="Numeric Input" prompt="Please enter numeric values or leave blank" errorTitle="Text Alert" error="Please do not enter text" sqref="F6:K26">
      <formula1>-1</formula1>
    </dataValidation>
  </dataValidations>
  <printOptions/>
  <pageMargins left="0.31496062992125984" right="0.31496062992125984" top="0.15748031496062992" bottom="0.35433070866141736" header="0.31496062992125984" footer="0.31496062992125984"/>
  <pageSetup orientation="landscape" paperSize="9" scale="71" r:id="rId1"/>
  <headerFooter>
    <oddFooter>&amp;C&amp;P&amp;RNote: Not to be quoted and not to be published without prior permission</oddFooter>
  </headerFooter>
</worksheet>
</file>

<file path=xl/worksheets/sheet8.xml><?xml version="1.0" encoding="utf-8"?>
<worksheet xmlns="http://schemas.openxmlformats.org/spreadsheetml/2006/main" xmlns:r="http://schemas.openxmlformats.org/officeDocument/2006/relationships">
  <dimension ref="A1:F14"/>
  <sheetViews>
    <sheetView zoomScalePageLayoutView="0" workbookViewId="0" topLeftCell="A3">
      <selection activeCell="E3" sqref="E3"/>
    </sheetView>
  </sheetViews>
  <sheetFormatPr defaultColWidth="0" defaultRowHeight="15" zeroHeight="1"/>
  <cols>
    <col min="1" max="1" width="5.8515625" style="28" customWidth="1"/>
    <col min="2" max="2" width="33.8515625" style="4" customWidth="1"/>
    <col min="3" max="3" width="27.57421875" style="4" customWidth="1"/>
    <col min="4" max="4" width="13.28125" style="4" customWidth="1"/>
    <col min="5" max="5" width="12.8515625" style="4" customWidth="1"/>
    <col min="6" max="6" width="16.28125" style="4" customWidth="1"/>
    <col min="7" max="16384" width="0" style="4" hidden="1" customWidth="1"/>
  </cols>
  <sheetData>
    <row r="1" spans="1:6" s="211" customFormat="1" ht="23.25">
      <c r="A1" s="1065" t="s">
        <v>420</v>
      </c>
      <c r="B1" s="1065"/>
      <c r="C1" s="1065"/>
      <c r="D1" s="1065"/>
      <c r="E1" s="1065"/>
      <c r="F1" s="1065"/>
    </row>
    <row r="2" spans="1:6" s="212" customFormat="1" ht="18.75">
      <c r="A2" s="1066" t="str">
        <f>'Summary Sheet'!A3:B3</f>
        <v>Name of the Unit</v>
      </c>
      <c r="B2" s="1067"/>
      <c r="C2" s="1068" t="str">
        <f>'Summary Sheet'!C3:D3</f>
        <v>  </v>
      </c>
      <c r="D2" s="1069"/>
      <c r="E2" s="1069"/>
      <c r="F2" s="1070"/>
    </row>
    <row r="3" spans="1:6" ht="15">
      <c r="A3" s="1071" t="s">
        <v>826</v>
      </c>
      <c r="B3" s="1071"/>
      <c r="C3" s="6" t="s">
        <v>689</v>
      </c>
      <c r="D3" s="213"/>
      <c r="E3" s="213" t="str">
        <f>'Form-Sb'!F550</f>
        <v>Yes</v>
      </c>
      <c r="F3" s="214" t="str">
        <f>'Form-Sb'!G550</f>
        <v>Yes</v>
      </c>
    </row>
    <row r="4" spans="1:6" ht="75">
      <c r="A4" s="16" t="s">
        <v>368</v>
      </c>
      <c r="B4" s="23" t="s">
        <v>388</v>
      </c>
      <c r="C4" s="23" t="s">
        <v>389</v>
      </c>
      <c r="D4" s="23" t="s">
        <v>390</v>
      </c>
      <c r="E4" s="241" t="str">
        <f>'Base line Parameters'!E5</f>
        <v>Baseline Year (Average of year1 to Year 3)</v>
      </c>
      <c r="F4" s="241" t="str">
        <f>'Base line Parameters'!F5</f>
        <v>Current/Assessment /Target Year    (20__-20__)</v>
      </c>
    </row>
    <row r="5" spans="1:6" ht="15">
      <c r="A5" s="215">
        <v>1</v>
      </c>
      <c r="B5" s="216" t="s">
        <v>421</v>
      </c>
      <c r="C5" s="216" t="s">
        <v>1447</v>
      </c>
      <c r="D5" s="216" t="s">
        <v>99</v>
      </c>
      <c r="E5" s="217" t="e">
        <f>'Form-Sb'!F218</f>
        <v>#DIV/0!</v>
      </c>
      <c r="F5" s="217">
        <f>'Form-Sb'!G218</f>
        <v>0</v>
      </c>
    </row>
    <row r="6" spans="1:6" ht="15">
      <c r="A6" s="384">
        <v>2</v>
      </c>
      <c r="B6" s="383" t="s">
        <v>423</v>
      </c>
      <c r="C6" s="216" t="s">
        <v>1458</v>
      </c>
      <c r="D6" s="383" t="s">
        <v>238</v>
      </c>
      <c r="E6" s="218">
        <f>'Form-Sb'!F505</f>
        <v>0</v>
      </c>
      <c r="F6" s="218">
        <f>'Form-Sb'!G505</f>
        <v>0</v>
      </c>
    </row>
    <row r="7" spans="1:6" ht="15">
      <c r="A7" s="384">
        <v>3</v>
      </c>
      <c r="B7" s="383" t="s">
        <v>374</v>
      </c>
      <c r="C7" s="216" t="s">
        <v>1471</v>
      </c>
      <c r="D7" s="383" t="s">
        <v>3</v>
      </c>
      <c r="E7" s="218">
        <f>'Form-Sb'!F516</f>
        <v>0</v>
      </c>
      <c r="F7" s="218">
        <f>'Form-Sb'!G516</f>
        <v>0</v>
      </c>
    </row>
    <row r="8" spans="1:6" ht="15">
      <c r="A8" s="384">
        <v>4</v>
      </c>
      <c r="B8" s="383" t="s">
        <v>375</v>
      </c>
      <c r="C8" s="216" t="s">
        <v>1472</v>
      </c>
      <c r="D8" s="383" t="s">
        <v>3</v>
      </c>
      <c r="E8" s="218">
        <f>'Form-Sb'!F517</f>
        <v>0</v>
      </c>
      <c r="F8" s="218">
        <f>'Form-Sb'!G517</f>
        <v>0</v>
      </c>
    </row>
    <row r="9" spans="1:6" ht="15">
      <c r="A9" s="384">
        <v>5</v>
      </c>
      <c r="B9" s="383" t="s">
        <v>376</v>
      </c>
      <c r="C9" s="216" t="s">
        <v>1473</v>
      </c>
      <c r="D9" s="383" t="s">
        <v>3</v>
      </c>
      <c r="E9" s="218">
        <f>'Form-Sb'!F518</f>
        <v>0</v>
      </c>
      <c r="F9" s="218">
        <f>'Form-Sb'!G518</f>
        <v>0</v>
      </c>
    </row>
    <row r="10" spans="1:6" ht="15">
      <c r="A10" s="384">
        <v>6</v>
      </c>
      <c r="B10" s="383" t="s">
        <v>377</v>
      </c>
      <c r="C10" s="216" t="s">
        <v>1474</v>
      </c>
      <c r="D10" s="383" t="s">
        <v>269</v>
      </c>
      <c r="E10" s="218">
        <f>'Form-Sb'!F519</f>
        <v>0</v>
      </c>
      <c r="F10" s="218">
        <f>'Form-Sb'!G519</f>
        <v>0</v>
      </c>
    </row>
    <row r="11" spans="1:6" ht="30">
      <c r="A11" s="384">
        <v>7</v>
      </c>
      <c r="B11" s="383" t="s">
        <v>424</v>
      </c>
      <c r="C11" s="19" t="s">
        <v>425</v>
      </c>
      <c r="D11" s="383" t="s">
        <v>3</v>
      </c>
      <c r="E11" s="219">
        <f>IF(E10=0,0,92.5-(50*E7+630*(E8+9*E9))/E10)</f>
        <v>0</v>
      </c>
      <c r="F11" s="219">
        <f>IF(F10=0,0,92.5-(50*F7+630*(F8+9*F9))/F10)</f>
        <v>0</v>
      </c>
    </row>
    <row r="12" spans="1:6" ht="30">
      <c r="A12" s="384">
        <v>8</v>
      </c>
      <c r="B12" s="19" t="s">
        <v>426</v>
      </c>
      <c r="C12" s="383" t="s">
        <v>1475</v>
      </c>
      <c r="D12" s="383" t="s">
        <v>238</v>
      </c>
      <c r="E12" s="218"/>
      <c r="F12" s="219">
        <f>IF(F11=0,0,E6*E11/F11)</f>
        <v>0</v>
      </c>
    </row>
    <row r="13" spans="1:6" ht="30">
      <c r="A13" s="384">
        <v>9</v>
      </c>
      <c r="B13" s="19" t="s">
        <v>427</v>
      </c>
      <c r="C13" s="383" t="s">
        <v>428</v>
      </c>
      <c r="D13" s="383" t="s">
        <v>238</v>
      </c>
      <c r="E13" s="218"/>
      <c r="F13" s="219">
        <f>IF(F12=0,0,F12-$E$6)</f>
        <v>0</v>
      </c>
    </row>
    <row r="14" spans="1:6" ht="30">
      <c r="A14" s="14">
        <v>10</v>
      </c>
      <c r="B14" s="23" t="s">
        <v>429</v>
      </c>
      <c r="C14" s="15" t="s">
        <v>1470</v>
      </c>
      <c r="D14" s="15" t="s">
        <v>231</v>
      </c>
      <c r="E14" s="220"/>
      <c r="F14" s="221">
        <f>IF(AND(E3="Yes",F3="Yes"),IF(F13*F5/10&gt;0,F13*F5/10,0),0)</f>
        <v>0</v>
      </c>
    </row>
    <row r="15" ht="15"/>
    <row r="16" ht="15"/>
    <row r="17" ht="15"/>
    <row r="18" ht="15"/>
  </sheetData>
  <sheetProtection password="E2BB" sheet="1"/>
  <mergeCells count="4">
    <mergeCell ref="A1:F1"/>
    <mergeCell ref="A2:B2"/>
    <mergeCell ref="C2:F2"/>
    <mergeCell ref="A3:B3"/>
  </mergeCells>
  <printOptions horizontalCentered="1"/>
  <pageMargins left="0.11811023622047245" right="0.11811023622047245" top="0.7480314960629921" bottom="0.7480314960629921" header="0.31496062992125984" footer="0.31496062992125984"/>
  <pageSetup horizontalDpi="600" verticalDpi="600" orientation="landscape" paperSize="9" scale="95" r:id="rId1"/>
  <headerFooter>
    <oddFooter>&amp;C&amp;P&amp;RNote: Not to be quoted and not to be published without prior permission</oddFooter>
  </headerFooter>
</worksheet>
</file>

<file path=xl/worksheets/sheet9.xml><?xml version="1.0" encoding="utf-8"?>
<worksheet xmlns="http://schemas.openxmlformats.org/spreadsheetml/2006/main" xmlns:r="http://schemas.openxmlformats.org/officeDocument/2006/relationships">
  <dimension ref="A1:N29"/>
  <sheetViews>
    <sheetView zoomScale="78" zoomScaleNormal="78" zoomScalePageLayoutView="0" workbookViewId="0" topLeftCell="A1">
      <selection activeCell="H40" sqref="H40"/>
    </sheetView>
  </sheetViews>
  <sheetFormatPr defaultColWidth="0" defaultRowHeight="15"/>
  <cols>
    <col min="1" max="1" width="8.8515625" style="1" customWidth="1"/>
    <col min="2" max="2" width="24.8515625" style="0" customWidth="1"/>
    <col min="3" max="3" width="15.00390625" style="0" customWidth="1"/>
    <col min="4" max="5" width="18.7109375" style="0" customWidth="1"/>
    <col min="6" max="6" width="13.8515625" style="0" bestFit="1" customWidth="1"/>
    <col min="7" max="7" width="11.7109375" style="1" customWidth="1"/>
    <col min="8" max="8" width="11.8515625" style="1" customWidth="1"/>
    <col min="9" max="9" width="11.28125" style="1" customWidth="1"/>
    <col min="10" max="10" width="10.8515625" style="1" customWidth="1"/>
    <col min="11" max="11" width="15.28125" style="1" customWidth="1"/>
    <col min="12" max="12" width="14.7109375" style="1" customWidth="1"/>
    <col min="13" max="13" width="22.8515625" style="0" customWidth="1"/>
    <col min="14" max="14" width="20.7109375" style="0" customWidth="1"/>
    <col min="15" max="16" width="8.8515625" style="0" hidden="1" customWidth="1"/>
    <col min="17" max="17" width="12.00390625" style="0" hidden="1" customWidth="1"/>
    <col min="18" max="16384" width="8.8515625" style="0" hidden="1" customWidth="1"/>
  </cols>
  <sheetData>
    <row r="1" spans="1:14" ht="26.25">
      <c r="A1" s="1053" t="s">
        <v>1062</v>
      </c>
      <c r="B1" s="1054"/>
      <c r="C1" s="1054"/>
      <c r="D1" s="1054"/>
      <c r="E1" s="1054"/>
      <c r="F1" s="1054"/>
      <c r="G1" s="1054"/>
      <c r="H1" s="1054"/>
      <c r="I1" s="1054"/>
      <c r="J1" s="1054"/>
      <c r="K1" s="1054"/>
      <c r="L1" s="1054"/>
      <c r="M1" s="1054"/>
      <c r="N1" s="1054"/>
    </row>
    <row r="2" spans="1:14" s="269" customFormat="1" ht="27" customHeight="1">
      <c r="A2" s="1009" t="str">
        <f>CONCATENATE('General Information'!B3,F3)</f>
        <v>Name of the Unit</v>
      </c>
      <c r="B2" s="1009"/>
      <c r="C2" s="1009"/>
      <c r="D2" s="1009"/>
      <c r="E2" s="1072" t="str">
        <f>'Form-Sb'!C3</f>
        <v>  </v>
      </c>
      <c r="F2" s="1063"/>
      <c r="G2" s="1063"/>
      <c r="H2" s="1063"/>
      <c r="I2" s="1063"/>
      <c r="J2" s="1063"/>
      <c r="K2" s="1063"/>
      <c r="L2" s="1063"/>
      <c r="M2" s="1063"/>
      <c r="N2" s="1063"/>
    </row>
    <row r="3" spans="1:14" s="5" customFormat="1" ht="30">
      <c r="A3" s="1060"/>
      <c r="B3" s="1060"/>
      <c r="C3" s="1060"/>
      <c r="D3" s="1060"/>
      <c r="E3" s="1060"/>
      <c r="F3" s="1060"/>
      <c r="G3" s="1060"/>
      <c r="H3" s="1060"/>
      <c r="I3" s="1060"/>
      <c r="J3" s="1061"/>
      <c r="K3" s="7" t="s">
        <v>1060</v>
      </c>
      <c r="L3" s="7" t="s">
        <v>1060</v>
      </c>
      <c r="M3" s="1062"/>
      <c r="N3" s="1060"/>
    </row>
    <row r="4" spans="1:14" s="9" customFormat="1" ht="45">
      <c r="A4" s="1055" t="s">
        <v>629</v>
      </c>
      <c r="B4" s="1055" t="s">
        <v>1029</v>
      </c>
      <c r="C4" s="267" t="s">
        <v>1166</v>
      </c>
      <c r="D4" s="1055" t="s">
        <v>1030</v>
      </c>
      <c r="E4" s="7" t="s">
        <v>1061</v>
      </c>
      <c r="F4" s="7" t="s">
        <v>1050</v>
      </c>
      <c r="G4" s="7" t="s">
        <v>1055</v>
      </c>
      <c r="H4" s="7" t="s">
        <v>1056</v>
      </c>
      <c r="I4" s="7" t="s">
        <v>1031</v>
      </c>
      <c r="J4" s="7" t="s">
        <v>284</v>
      </c>
      <c r="K4" s="7" t="s">
        <v>1044</v>
      </c>
      <c r="L4" s="7" t="s">
        <v>1045</v>
      </c>
      <c r="M4" s="8" t="s">
        <v>160</v>
      </c>
      <c r="N4" s="8" t="s">
        <v>717</v>
      </c>
    </row>
    <row r="5" spans="1:14" s="12" customFormat="1" ht="30">
      <c r="A5" s="1056"/>
      <c r="B5" s="1056"/>
      <c r="C5" s="268"/>
      <c r="D5" s="1056"/>
      <c r="E5" s="10" t="s">
        <v>766</v>
      </c>
      <c r="F5" s="10" t="s">
        <v>766</v>
      </c>
      <c r="G5" s="10" t="s">
        <v>24</v>
      </c>
      <c r="H5" s="7" t="s">
        <v>1033</v>
      </c>
      <c r="I5" s="10" t="s">
        <v>24</v>
      </c>
      <c r="J5" s="7" t="s">
        <v>1032</v>
      </c>
      <c r="K5" s="7" t="s">
        <v>1034</v>
      </c>
      <c r="L5" s="7" t="s">
        <v>1035</v>
      </c>
      <c r="M5" s="11"/>
      <c r="N5" s="11"/>
    </row>
    <row r="6" spans="1:14" s="537" customFormat="1" ht="15">
      <c r="A6" s="538">
        <v>1</v>
      </c>
      <c r="B6" s="539"/>
      <c r="C6" s="539"/>
      <c r="D6" s="539"/>
      <c r="E6" s="539"/>
      <c r="F6" s="539"/>
      <c r="G6" s="295"/>
      <c r="H6" s="295"/>
      <c r="I6" s="295"/>
      <c r="J6" s="295"/>
      <c r="K6" s="295"/>
      <c r="L6" s="295"/>
      <c r="M6" s="540"/>
      <c r="N6" s="539"/>
    </row>
    <row r="7" spans="1:14" s="537" customFormat="1" ht="15">
      <c r="A7" s="538">
        <v>2</v>
      </c>
      <c r="B7" s="539"/>
      <c r="C7" s="539"/>
      <c r="D7" s="539"/>
      <c r="E7" s="539"/>
      <c r="F7" s="539"/>
      <c r="G7" s="295"/>
      <c r="H7" s="295"/>
      <c r="I7" s="295"/>
      <c r="J7" s="295"/>
      <c r="K7" s="295"/>
      <c r="L7" s="295"/>
      <c r="M7" s="539"/>
      <c r="N7" s="539"/>
    </row>
    <row r="8" spans="1:14" s="537" customFormat="1" ht="15">
      <c r="A8" s="538">
        <v>3</v>
      </c>
      <c r="B8" s="539"/>
      <c r="C8" s="539"/>
      <c r="D8" s="539"/>
      <c r="E8" s="539"/>
      <c r="F8" s="539"/>
      <c r="G8" s="295"/>
      <c r="H8" s="295"/>
      <c r="I8" s="295"/>
      <c r="J8" s="295"/>
      <c r="K8" s="295"/>
      <c r="L8" s="295"/>
      <c r="M8" s="539"/>
      <c r="N8" s="539"/>
    </row>
    <row r="9" spans="1:14" s="537" customFormat="1" ht="15">
      <c r="A9" s="538">
        <v>4</v>
      </c>
      <c r="B9" s="539"/>
      <c r="C9" s="539"/>
      <c r="D9" s="539"/>
      <c r="E9" s="539"/>
      <c r="F9" s="539"/>
      <c r="G9" s="295"/>
      <c r="H9" s="295"/>
      <c r="I9" s="295"/>
      <c r="J9" s="295"/>
      <c r="K9" s="295"/>
      <c r="L9" s="295"/>
      <c r="M9" s="539"/>
      <c r="N9" s="539"/>
    </row>
    <row r="10" spans="1:14" s="537" customFormat="1" ht="15">
      <c r="A10" s="538">
        <v>5</v>
      </c>
      <c r="B10" s="539"/>
      <c r="C10" s="539"/>
      <c r="D10" s="539"/>
      <c r="E10" s="539"/>
      <c r="F10" s="539"/>
      <c r="G10" s="295"/>
      <c r="H10" s="295"/>
      <c r="I10" s="295"/>
      <c r="J10" s="295"/>
      <c r="K10" s="295"/>
      <c r="L10" s="295"/>
      <c r="M10" s="539"/>
      <c r="N10" s="539"/>
    </row>
    <row r="11" spans="1:14" s="537" customFormat="1" ht="15">
      <c r="A11" s="538">
        <v>6</v>
      </c>
      <c r="B11" s="539"/>
      <c r="C11" s="539"/>
      <c r="D11" s="539"/>
      <c r="E11" s="539"/>
      <c r="F11" s="539"/>
      <c r="G11" s="295"/>
      <c r="H11" s="295"/>
      <c r="I11" s="295"/>
      <c r="J11" s="295"/>
      <c r="K11" s="295"/>
      <c r="L11" s="295"/>
      <c r="M11" s="539"/>
      <c r="N11" s="539"/>
    </row>
    <row r="12" spans="1:14" s="537" customFormat="1" ht="15">
      <c r="A12" s="538">
        <v>7</v>
      </c>
      <c r="B12" s="539"/>
      <c r="C12" s="539"/>
      <c r="D12" s="539"/>
      <c r="E12" s="539"/>
      <c r="F12" s="539"/>
      <c r="G12" s="295"/>
      <c r="H12" s="295"/>
      <c r="I12" s="295"/>
      <c r="J12" s="295"/>
      <c r="K12" s="295"/>
      <c r="L12" s="295"/>
      <c r="M12" s="539"/>
      <c r="N12" s="539"/>
    </row>
    <row r="13" spans="1:14" s="537" customFormat="1" ht="15">
      <c r="A13" s="538">
        <v>8</v>
      </c>
      <c r="B13" s="539"/>
      <c r="C13" s="539"/>
      <c r="D13" s="539"/>
      <c r="E13" s="539"/>
      <c r="F13" s="539"/>
      <c r="G13" s="295"/>
      <c r="H13" s="295"/>
      <c r="I13" s="295"/>
      <c r="J13" s="295"/>
      <c r="K13" s="295"/>
      <c r="L13" s="295"/>
      <c r="M13" s="539"/>
      <c r="N13" s="539"/>
    </row>
    <row r="14" spans="1:14" s="537" customFormat="1" ht="15">
      <c r="A14" s="538">
        <v>9</v>
      </c>
      <c r="B14" s="539"/>
      <c r="C14" s="539"/>
      <c r="D14" s="539"/>
      <c r="E14" s="539"/>
      <c r="F14" s="539"/>
      <c r="G14" s="295"/>
      <c r="H14" s="295"/>
      <c r="I14" s="295"/>
      <c r="J14" s="295"/>
      <c r="K14" s="295"/>
      <c r="L14" s="295"/>
      <c r="M14" s="539"/>
      <c r="N14" s="539"/>
    </row>
    <row r="15" spans="1:14" s="537" customFormat="1" ht="15">
      <c r="A15" s="538">
        <v>10</v>
      </c>
      <c r="B15" s="539"/>
      <c r="C15" s="539"/>
      <c r="D15" s="539"/>
      <c r="E15" s="539"/>
      <c r="F15" s="539"/>
      <c r="G15" s="295"/>
      <c r="H15" s="295"/>
      <c r="I15" s="295"/>
      <c r="J15" s="295"/>
      <c r="K15" s="295"/>
      <c r="L15" s="295"/>
      <c r="M15" s="539"/>
      <c r="N15" s="539"/>
    </row>
    <row r="16" spans="1:14" s="537" customFormat="1" ht="15">
      <c r="A16" s="538">
        <v>11</v>
      </c>
      <c r="B16" s="539"/>
      <c r="C16" s="539"/>
      <c r="D16" s="539"/>
      <c r="E16" s="539"/>
      <c r="F16" s="539"/>
      <c r="G16" s="295"/>
      <c r="H16" s="295"/>
      <c r="I16" s="295"/>
      <c r="J16" s="295"/>
      <c r="K16" s="295"/>
      <c r="L16" s="295"/>
      <c r="M16" s="539"/>
      <c r="N16" s="539"/>
    </row>
    <row r="17" spans="1:14" s="537" customFormat="1" ht="15">
      <c r="A17" s="538">
        <v>12</v>
      </c>
      <c r="B17" s="539"/>
      <c r="C17" s="539"/>
      <c r="D17" s="539"/>
      <c r="E17" s="539"/>
      <c r="F17" s="539"/>
      <c r="G17" s="295"/>
      <c r="H17" s="295"/>
      <c r="I17" s="295"/>
      <c r="J17" s="295"/>
      <c r="K17" s="295"/>
      <c r="L17" s="295"/>
      <c r="M17" s="539"/>
      <c r="N17" s="539"/>
    </row>
    <row r="18" spans="1:14" s="537" customFormat="1" ht="15">
      <c r="A18" s="538">
        <v>13</v>
      </c>
      <c r="B18" s="539"/>
      <c r="C18" s="539"/>
      <c r="D18" s="539"/>
      <c r="E18" s="539"/>
      <c r="F18" s="539"/>
      <c r="G18" s="295"/>
      <c r="H18" s="295"/>
      <c r="I18" s="295"/>
      <c r="J18" s="295"/>
      <c r="K18" s="295"/>
      <c r="L18" s="295"/>
      <c r="M18" s="539"/>
      <c r="N18" s="539"/>
    </row>
    <row r="19" spans="1:14" s="537" customFormat="1" ht="15">
      <c r="A19" s="538">
        <v>14</v>
      </c>
      <c r="B19" s="539"/>
      <c r="C19" s="539"/>
      <c r="D19" s="539"/>
      <c r="E19" s="539"/>
      <c r="F19" s="539"/>
      <c r="G19" s="295"/>
      <c r="H19" s="295"/>
      <c r="I19" s="295"/>
      <c r="J19" s="295"/>
      <c r="K19" s="295"/>
      <c r="L19" s="295"/>
      <c r="M19" s="539"/>
      <c r="N19" s="539"/>
    </row>
    <row r="20" spans="1:14" s="537" customFormat="1" ht="15">
      <c r="A20" s="538">
        <v>15</v>
      </c>
      <c r="B20" s="539"/>
      <c r="C20" s="539"/>
      <c r="D20" s="539"/>
      <c r="E20" s="539"/>
      <c r="F20" s="539"/>
      <c r="G20" s="295"/>
      <c r="H20" s="295"/>
      <c r="I20" s="295"/>
      <c r="J20" s="295"/>
      <c r="K20" s="295"/>
      <c r="L20" s="295"/>
      <c r="M20" s="539"/>
      <c r="N20" s="539"/>
    </row>
    <row r="21" spans="1:14" s="537" customFormat="1" ht="15">
      <c r="A21" s="538">
        <v>16</v>
      </c>
      <c r="B21" s="539"/>
      <c r="C21" s="539"/>
      <c r="D21" s="539"/>
      <c r="E21" s="539"/>
      <c r="F21" s="539"/>
      <c r="G21" s="295"/>
      <c r="H21" s="295"/>
      <c r="I21" s="295"/>
      <c r="J21" s="295"/>
      <c r="K21" s="295"/>
      <c r="L21" s="295"/>
      <c r="M21" s="539"/>
      <c r="N21" s="539"/>
    </row>
    <row r="22" spans="1:14" s="537" customFormat="1" ht="15">
      <c r="A22" s="538">
        <v>17</v>
      </c>
      <c r="B22" s="539"/>
      <c r="C22" s="539"/>
      <c r="D22" s="539"/>
      <c r="E22" s="539"/>
      <c r="F22" s="539"/>
      <c r="G22" s="295"/>
      <c r="H22" s="295"/>
      <c r="I22" s="295"/>
      <c r="J22" s="295"/>
      <c r="K22" s="295"/>
      <c r="L22" s="295"/>
      <c r="M22" s="539"/>
      <c r="N22" s="539"/>
    </row>
    <row r="23" spans="1:14" s="537" customFormat="1" ht="15">
      <c r="A23" s="538">
        <v>18</v>
      </c>
      <c r="B23" s="539"/>
      <c r="C23" s="539"/>
      <c r="D23" s="539"/>
      <c r="E23" s="539"/>
      <c r="F23" s="539"/>
      <c r="G23" s="295"/>
      <c r="H23" s="295"/>
      <c r="I23" s="295"/>
      <c r="J23" s="295"/>
      <c r="K23" s="295"/>
      <c r="L23" s="295"/>
      <c r="M23" s="539"/>
      <c r="N23" s="539"/>
    </row>
    <row r="24" spans="1:14" s="537" customFormat="1" ht="15">
      <c r="A24" s="538">
        <v>19</v>
      </c>
      <c r="B24" s="539"/>
      <c r="C24" s="539"/>
      <c r="D24" s="539"/>
      <c r="E24" s="539"/>
      <c r="F24" s="539"/>
      <c r="G24" s="295"/>
      <c r="H24" s="295"/>
      <c r="I24" s="295"/>
      <c r="J24" s="295"/>
      <c r="K24" s="295"/>
      <c r="L24" s="295"/>
      <c r="M24" s="539"/>
      <c r="N24" s="539"/>
    </row>
    <row r="25" spans="1:14" s="537" customFormat="1" ht="15">
      <c r="A25" s="538">
        <v>20</v>
      </c>
      <c r="B25" s="539"/>
      <c r="C25" s="539"/>
      <c r="D25" s="539"/>
      <c r="E25" s="539"/>
      <c r="F25" s="539"/>
      <c r="G25" s="295"/>
      <c r="H25" s="295"/>
      <c r="I25" s="295"/>
      <c r="J25" s="295"/>
      <c r="K25" s="295"/>
      <c r="L25" s="295"/>
      <c r="M25" s="539"/>
      <c r="N25" s="539"/>
    </row>
    <row r="26" spans="1:14" s="537" customFormat="1" ht="15">
      <c r="A26" s="538">
        <v>21</v>
      </c>
      <c r="B26" s="539"/>
      <c r="C26" s="539"/>
      <c r="D26" s="539"/>
      <c r="E26" s="539"/>
      <c r="F26" s="539"/>
      <c r="G26" s="295"/>
      <c r="H26" s="295"/>
      <c r="I26" s="295"/>
      <c r="J26" s="295"/>
      <c r="K26" s="295"/>
      <c r="L26" s="295"/>
      <c r="M26" s="539"/>
      <c r="N26" s="539"/>
    </row>
    <row r="27" spans="1:14" ht="15">
      <c r="A27" s="1057" t="s">
        <v>1057</v>
      </c>
      <c r="B27" s="1058"/>
      <c r="C27" s="1058"/>
      <c r="D27" s="1058"/>
      <c r="E27" s="1058"/>
      <c r="F27" s="1059"/>
      <c r="G27" s="250">
        <f aca="true" t="shared" si="0" ref="G27:L27">SUM(G6:G26)</f>
        <v>0</v>
      </c>
      <c r="H27" s="250">
        <f t="shared" si="0"/>
        <v>0</v>
      </c>
      <c r="I27" s="250">
        <f t="shared" si="0"/>
        <v>0</v>
      </c>
      <c r="J27" s="250">
        <f t="shared" si="0"/>
        <v>0</v>
      </c>
      <c r="K27" s="250">
        <f t="shared" si="0"/>
        <v>0</v>
      </c>
      <c r="L27" s="250">
        <f t="shared" si="0"/>
        <v>0</v>
      </c>
      <c r="M27" s="249"/>
      <c r="N27" s="249"/>
    </row>
    <row r="28" spans="1:2" ht="15">
      <c r="A28" s="1" t="s">
        <v>1046</v>
      </c>
      <c r="B28" t="s">
        <v>1049</v>
      </c>
    </row>
    <row r="29" spans="1:2" ht="15">
      <c r="A29" s="1" t="s">
        <v>1047</v>
      </c>
      <c r="B29" t="s">
        <v>1048</v>
      </c>
    </row>
  </sheetData>
  <sheetProtection password="E2BB" sheet="1" objects="1" scenarios="1" formatCells="0" formatColumns="0" formatRows="0" insertRows="0"/>
  <mergeCells count="9">
    <mergeCell ref="A27:F27"/>
    <mergeCell ref="A1:N1"/>
    <mergeCell ref="A3:J3"/>
    <mergeCell ref="M3:N3"/>
    <mergeCell ref="A4:A5"/>
    <mergeCell ref="B4:B5"/>
    <mergeCell ref="D4:D5"/>
    <mergeCell ref="A2:D2"/>
    <mergeCell ref="E2:N2"/>
  </mergeCells>
  <dataValidations count="1">
    <dataValidation type="decimal" operator="greaterThan" showErrorMessage="1" promptTitle="Numeric Input" prompt="Please enter numeric values or leave blank" errorTitle="Text Alert" error="Please do not enter text" sqref="G6:L26">
      <formula1>-1</formula1>
    </dataValidation>
  </dataValidations>
  <printOptions/>
  <pageMargins left="0.5118110236220472" right="0.5118110236220472" top="0.35433070866141736" bottom="0.35433070866141736" header="0.31496062992125984" footer="0.31496062992125984"/>
  <pageSetup orientation="landscape" paperSize="9" scale="62" r:id="rId1"/>
  <headerFooter>
    <oddFooter>&amp;C&amp;P&amp;RNote: Not to be quoted and not to be published without prior permission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VIKASH RANJAN</dc:creator>
  <cp:keywords/>
  <dc:description/>
  <cp:lastModifiedBy>DELL</cp:lastModifiedBy>
  <cp:lastPrinted>2014-08-27T09:22:57Z</cp:lastPrinted>
  <dcterms:created xsi:type="dcterms:W3CDTF">2010-08-05T04:12:30Z</dcterms:created>
  <dcterms:modified xsi:type="dcterms:W3CDTF">2019-05-17T06:22:22Z</dcterms:modified>
  <cp:category/>
  <cp:version/>
  <cp:contentType/>
  <cp:contentStatus/>
</cp:coreProperties>
</file>